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9B9E5BDC-B6C9-486D-844E-8AD64C66DF8B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電圧降下計算" sheetId="1" r:id="rId1"/>
    <sheet name="計算用バックデータ⇒" sheetId="2" r:id="rId2"/>
    <sheet name="電線の選定" sheetId="12" r:id="rId3"/>
    <sheet name="電圧降下の選定" sheetId="14" r:id="rId4"/>
    <sheet name="ラック低減の選定" sheetId="15" r:id="rId5"/>
    <sheet name="電気方式" sheetId="5" r:id="rId6"/>
    <sheet name="電圧" sheetId="6" r:id="rId7"/>
    <sheet name="主幹器具" sheetId="7" r:id="rId8"/>
    <sheet name="幹線分岐" sheetId="11" r:id="rId9"/>
    <sheet name="電線" sheetId="3" r:id="rId10"/>
    <sheet name="電圧降下" sheetId="9" r:id="rId11"/>
    <sheet name="ラック低減" sheetId="10" r:id="rId12"/>
    <sheet name="接地線" sheetId="8" r:id="rId13"/>
  </sheets>
  <definedNames>
    <definedName name="_xlnm.Print_Area" localSheetId="0">電圧降下計算!$A$1:$X$96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2" i="1" l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O128" i="3"/>
  <c r="N128" i="3"/>
  <c r="M128" i="3"/>
  <c r="J128" i="3"/>
  <c r="I128" i="3"/>
  <c r="H128" i="3"/>
  <c r="E128" i="3"/>
  <c r="C128" i="3"/>
  <c r="D128" i="3" s="1"/>
  <c r="O127" i="3"/>
  <c r="N127" i="3"/>
  <c r="M127" i="3"/>
  <c r="J127" i="3"/>
  <c r="I127" i="3"/>
  <c r="H127" i="3"/>
  <c r="E127" i="3"/>
  <c r="D127" i="3"/>
  <c r="C127" i="3"/>
  <c r="O126" i="3"/>
  <c r="N126" i="3"/>
  <c r="M126" i="3"/>
  <c r="J126" i="3"/>
  <c r="I126" i="3"/>
  <c r="H126" i="3"/>
  <c r="E126" i="3"/>
  <c r="D126" i="3"/>
  <c r="C126" i="3"/>
  <c r="O125" i="3"/>
  <c r="N125" i="3"/>
  <c r="M125" i="3"/>
  <c r="J125" i="3"/>
  <c r="I125" i="3"/>
  <c r="H125" i="3"/>
  <c r="E125" i="3"/>
  <c r="D125" i="3"/>
  <c r="C125" i="3"/>
  <c r="O124" i="3"/>
  <c r="N124" i="3"/>
  <c r="M124" i="3"/>
  <c r="J124" i="3"/>
  <c r="I124" i="3"/>
  <c r="H124" i="3"/>
  <c r="E124" i="3"/>
  <c r="C124" i="3"/>
  <c r="D124" i="3" s="1"/>
  <c r="O123" i="3"/>
  <c r="N123" i="3"/>
  <c r="M123" i="3"/>
  <c r="J123" i="3"/>
  <c r="I123" i="3"/>
  <c r="H123" i="3"/>
  <c r="E123" i="3"/>
  <c r="D123" i="3"/>
  <c r="C123" i="3"/>
  <c r="O122" i="3"/>
  <c r="N122" i="3"/>
  <c r="M122" i="3"/>
  <c r="J122" i="3"/>
  <c r="I122" i="3"/>
  <c r="H122" i="3"/>
  <c r="E122" i="3"/>
  <c r="D122" i="3"/>
  <c r="C122" i="3"/>
  <c r="O121" i="3"/>
  <c r="N121" i="3"/>
  <c r="M121" i="3"/>
  <c r="J121" i="3"/>
  <c r="I121" i="3"/>
  <c r="H121" i="3"/>
  <c r="E121" i="3"/>
  <c r="D121" i="3"/>
  <c r="C121" i="3"/>
  <c r="O120" i="3"/>
  <c r="N120" i="3"/>
  <c r="M120" i="3"/>
  <c r="J120" i="3"/>
  <c r="I120" i="3"/>
  <c r="H120" i="3"/>
  <c r="E120" i="3"/>
  <c r="C120" i="3"/>
  <c r="D120" i="3" s="1"/>
  <c r="O119" i="3"/>
  <c r="N119" i="3"/>
  <c r="M119" i="3"/>
  <c r="J119" i="3"/>
  <c r="I119" i="3"/>
  <c r="H119" i="3"/>
  <c r="E119" i="3"/>
  <c r="D119" i="3"/>
  <c r="C119" i="3"/>
  <c r="O118" i="3"/>
  <c r="N118" i="3"/>
  <c r="M118" i="3"/>
  <c r="J118" i="3"/>
  <c r="I118" i="3"/>
  <c r="H118" i="3"/>
  <c r="E118" i="3"/>
  <c r="D118" i="3"/>
  <c r="C118" i="3"/>
  <c r="O117" i="3"/>
  <c r="N117" i="3"/>
  <c r="M117" i="3"/>
  <c r="J117" i="3"/>
  <c r="I117" i="3"/>
  <c r="H117" i="3"/>
  <c r="E117" i="3"/>
  <c r="D117" i="3"/>
  <c r="C117" i="3"/>
  <c r="O116" i="3"/>
  <c r="N116" i="3"/>
  <c r="M116" i="3"/>
  <c r="J116" i="3"/>
  <c r="I116" i="3"/>
  <c r="H116" i="3"/>
  <c r="E116" i="3"/>
  <c r="C116" i="3"/>
  <c r="D116" i="3" s="1"/>
  <c r="O155" i="3"/>
  <c r="N155" i="3"/>
  <c r="M155" i="3"/>
  <c r="L155" i="3"/>
  <c r="K155" i="3"/>
  <c r="J155" i="3"/>
  <c r="I155" i="3"/>
  <c r="H155" i="3"/>
  <c r="G155" i="3"/>
  <c r="F155" i="3"/>
  <c r="E155" i="3"/>
  <c r="C155" i="3"/>
  <c r="D155" i="3" s="1"/>
  <c r="B155" i="3"/>
  <c r="O154" i="3"/>
  <c r="N154" i="3"/>
  <c r="M154" i="3"/>
  <c r="L154" i="3"/>
  <c r="K154" i="3"/>
  <c r="J154" i="3"/>
  <c r="I154" i="3"/>
  <c r="H154" i="3"/>
  <c r="G154" i="3"/>
  <c r="F154" i="3"/>
  <c r="E154" i="3"/>
  <c r="C154" i="3"/>
  <c r="D154" i="3" s="1"/>
  <c r="B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O150" i="3"/>
  <c r="N150" i="3"/>
  <c r="M150" i="3"/>
  <c r="L150" i="3"/>
  <c r="K150" i="3"/>
  <c r="J150" i="3"/>
  <c r="I150" i="3"/>
  <c r="H150" i="3"/>
  <c r="G150" i="3"/>
  <c r="F150" i="3"/>
  <c r="E150" i="3"/>
  <c r="C150" i="3"/>
  <c r="D150" i="3" s="1"/>
  <c r="B150" i="3"/>
  <c r="O149" i="3"/>
  <c r="N149" i="3"/>
  <c r="M149" i="3"/>
  <c r="L149" i="3"/>
  <c r="K149" i="3"/>
  <c r="J149" i="3"/>
  <c r="I149" i="3"/>
  <c r="H149" i="3"/>
  <c r="G149" i="3"/>
  <c r="F149" i="3"/>
  <c r="E149" i="3"/>
  <c r="C149" i="3"/>
  <c r="D149" i="3" s="1"/>
  <c r="B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E147" i="3"/>
  <c r="C147" i="3"/>
  <c r="O147" i="3"/>
  <c r="N147" i="3"/>
  <c r="M147" i="3"/>
  <c r="L147" i="3"/>
  <c r="K147" i="3"/>
  <c r="J147" i="3"/>
  <c r="I147" i="3"/>
  <c r="H147" i="3"/>
  <c r="G147" i="3"/>
  <c r="F147" i="3"/>
  <c r="D147" i="3"/>
  <c r="B147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O191" i="3"/>
  <c r="N191" i="3"/>
  <c r="M191" i="3"/>
  <c r="L191" i="3"/>
  <c r="K191" i="3"/>
  <c r="J191" i="3"/>
  <c r="I191" i="3"/>
  <c r="H191" i="3"/>
  <c r="G191" i="3"/>
  <c r="F191" i="3"/>
  <c r="E191" i="3"/>
  <c r="C191" i="3"/>
  <c r="D191" i="3" s="1"/>
  <c r="B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O189" i="3"/>
  <c r="N189" i="3"/>
  <c r="M189" i="3"/>
  <c r="L189" i="3"/>
  <c r="K189" i="3"/>
  <c r="J189" i="3"/>
  <c r="I189" i="3"/>
  <c r="H189" i="3"/>
  <c r="G189" i="3"/>
  <c r="F189" i="3"/>
  <c r="E189" i="3"/>
  <c r="C189" i="3"/>
  <c r="D189" i="3" s="1"/>
  <c r="B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O186" i="3"/>
  <c r="N186" i="3"/>
  <c r="M186" i="3"/>
  <c r="L186" i="3"/>
  <c r="K186" i="3"/>
  <c r="J186" i="3"/>
  <c r="I186" i="3"/>
  <c r="H186" i="3"/>
  <c r="G186" i="3"/>
  <c r="F186" i="3"/>
  <c r="E186" i="3"/>
  <c r="C186" i="3"/>
  <c r="D186" i="3" s="1"/>
  <c r="B186" i="3"/>
  <c r="O185" i="3"/>
  <c r="N185" i="3"/>
  <c r="M185" i="3"/>
  <c r="L185" i="3"/>
  <c r="K185" i="3"/>
  <c r="J185" i="3"/>
  <c r="I185" i="3"/>
  <c r="H185" i="3"/>
  <c r="G185" i="3"/>
  <c r="F185" i="3"/>
  <c r="E185" i="3"/>
  <c r="C185" i="3"/>
  <c r="D185" i="3" s="1"/>
  <c r="B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M183" i="3"/>
  <c r="L183" i="3"/>
  <c r="K183" i="3"/>
  <c r="H183" i="3"/>
  <c r="G183" i="3"/>
  <c r="F183" i="3"/>
  <c r="E183" i="3"/>
  <c r="C183" i="3"/>
  <c r="D183" i="3" s="1"/>
  <c r="B183" i="3"/>
  <c r="M182" i="3"/>
  <c r="L182" i="3"/>
  <c r="K182" i="3"/>
  <c r="H182" i="3"/>
  <c r="G182" i="3"/>
  <c r="F182" i="3"/>
  <c r="E182" i="3"/>
  <c r="C182" i="3"/>
  <c r="D182" i="3" s="1"/>
  <c r="B182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O113" i="3"/>
  <c r="N113" i="3"/>
  <c r="M113" i="3"/>
  <c r="L113" i="3"/>
  <c r="K113" i="3"/>
  <c r="J113" i="3"/>
  <c r="I113" i="3"/>
  <c r="H113" i="3"/>
  <c r="G113" i="3"/>
  <c r="F113" i="3"/>
  <c r="E113" i="3"/>
  <c r="C113" i="3"/>
  <c r="D113" i="3" s="1"/>
  <c r="B113" i="3"/>
  <c r="O112" i="3"/>
  <c r="N112" i="3"/>
  <c r="M112" i="3"/>
  <c r="L112" i="3"/>
  <c r="K112" i="3"/>
  <c r="J112" i="3"/>
  <c r="I112" i="3"/>
  <c r="H112" i="3"/>
  <c r="G112" i="3"/>
  <c r="F112" i="3"/>
  <c r="E112" i="3"/>
  <c r="C112" i="3"/>
  <c r="D112" i="3" s="1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O110" i="3"/>
  <c r="N110" i="3"/>
  <c r="M110" i="3"/>
  <c r="L110" i="3"/>
  <c r="K110" i="3"/>
  <c r="J110" i="3"/>
  <c r="I110" i="3"/>
  <c r="H110" i="3"/>
  <c r="G110" i="3"/>
  <c r="F110" i="3"/>
  <c r="E110" i="3"/>
  <c r="C110" i="3"/>
  <c r="D110" i="3" s="1"/>
  <c r="B110" i="3"/>
  <c r="O109" i="3"/>
  <c r="N109" i="3"/>
  <c r="M109" i="3"/>
  <c r="L109" i="3"/>
  <c r="K109" i="3"/>
  <c r="J109" i="3"/>
  <c r="I109" i="3"/>
  <c r="H109" i="3"/>
  <c r="G109" i="3"/>
  <c r="F109" i="3"/>
  <c r="E109" i="3"/>
  <c r="C109" i="3"/>
  <c r="D109" i="3" s="1"/>
  <c r="B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O105" i="3"/>
  <c r="N105" i="3"/>
  <c r="M105" i="3"/>
  <c r="L105" i="3"/>
  <c r="K105" i="3"/>
  <c r="J105" i="3"/>
  <c r="I105" i="3"/>
  <c r="H105" i="3"/>
  <c r="G105" i="3"/>
  <c r="F105" i="3"/>
  <c r="E105" i="3"/>
  <c r="C105" i="3"/>
  <c r="D105" i="3" s="1"/>
  <c r="B105" i="3"/>
  <c r="O104" i="3"/>
  <c r="N104" i="3"/>
  <c r="M104" i="3"/>
  <c r="L104" i="3"/>
  <c r="K104" i="3"/>
  <c r="J104" i="3"/>
  <c r="I104" i="3"/>
  <c r="H104" i="3"/>
  <c r="G104" i="3"/>
  <c r="F104" i="3"/>
  <c r="E104" i="3"/>
  <c r="C104" i="3"/>
  <c r="D104" i="3" s="1"/>
  <c r="B104" i="3"/>
  <c r="E103" i="3"/>
  <c r="C103" i="3"/>
  <c r="O103" i="3"/>
  <c r="N103" i="3"/>
  <c r="M103" i="3"/>
  <c r="L103" i="3"/>
  <c r="K103" i="3"/>
  <c r="J103" i="3"/>
  <c r="I103" i="3"/>
  <c r="H103" i="3"/>
  <c r="G103" i="3"/>
  <c r="F103" i="3"/>
  <c r="B103" i="3"/>
  <c r="D103" i="3"/>
  <c r="D212" i="3"/>
  <c r="D211" i="3"/>
  <c r="D210" i="3"/>
  <c r="D209" i="3"/>
  <c r="D208" i="3"/>
  <c r="D207" i="3"/>
  <c r="D206" i="3"/>
  <c r="D205" i="3"/>
  <c r="D204" i="3"/>
  <c r="O211" i="3"/>
  <c r="N211" i="3"/>
  <c r="M211" i="3"/>
  <c r="L211" i="3"/>
  <c r="K211" i="3"/>
  <c r="J211" i="3"/>
  <c r="I211" i="3"/>
  <c r="H211" i="3"/>
  <c r="G211" i="3"/>
  <c r="F211" i="3"/>
  <c r="B211" i="3"/>
  <c r="O210" i="3"/>
  <c r="N210" i="3"/>
  <c r="M210" i="3"/>
  <c r="L210" i="3"/>
  <c r="K210" i="3"/>
  <c r="J210" i="3"/>
  <c r="I210" i="3"/>
  <c r="H210" i="3"/>
  <c r="G210" i="3"/>
  <c r="F210" i="3"/>
  <c r="B210" i="3"/>
  <c r="O209" i="3"/>
  <c r="N209" i="3"/>
  <c r="M209" i="3"/>
  <c r="L209" i="3"/>
  <c r="K209" i="3"/>
  <c r="J209" i="3"/>
  <c r="I209" i="3"/>
  <c r="H209" i="3"/>
  <c r="G209" i="3"/>
  <c r="F209" i="3"/>
  <c r="B209" i="3"/>
  <c r="O208" i="3"/>
  <c r="N208" i="3"/>
  <c r="M208" i="3"/>
  <c r="L208" i="3"/>
  <c r="K208" i="3"/>
  <c r="J208" i="3"/>
  <c r="I208" i="3"/>
  <c r="H208" i="3"/>
  <c r="G208" i="3"/>
  <c r="F208" i="3"/>
  <c r="B208" i="3"/>
  <c r="O207" i="3"/>
  <c r="N207" i="3"/>
  <c r="M207" i="3"/>
  <c r="L207" i="3"/>
  <c r="K207" i="3"/>
  <c r="J207" i="3"/>
  <c r="I207" i="3"/>
  <c r="H207" i="3"/>
  <c r="G207" i="3"/>
  <c r="F207" i="3"/>
  <c r="B207" i="3"/>
  <c r="O206" i="3"/>
  <c r="N206" i="3"/>
  <c r="M206" i="3"/>
  <c r="L206" i="3"/>
  <c r="K206" i="3"/>
  <c r="J206" i="3"/>
  <c r="I206" i="3"/>
  <c r="H206" i="3"/>
  <c r="G206" i="3"/>
  <c r="F206" i="3"/>
  <c r="B206" i="3"/>
  <c r="O205" i="3"/>
  <c r="N205" i="3"/>
  <c r="M205" i="3"/>
  <c r="L205" i="3"/>
  <c r="K205" i="3"/>
  <c r="J205" i="3"/>
  <c r="I205" i="3"/>
  <c r="H205" i="3"/>
  <c r="G205" i="3"/>
  <c r="F205" i="3"/>
  <c r="B205" i="3"/>
  <c r="O204" i="3"/>
  <c r="N204" i="3"/>
  <c r="M204" i="3"/>
  <c r="L204" i="3"/>
  <c r="K204" i="3"/>
  <c r="J204" i="3"/>
  <c r="I204" i="3"/>
  <c r="H204" i="3"/>
  <c r="G204" i="3"/>
  <c r="F204" i="3"/>
  <c r="B204" i="3"/>
  <c r="O212" i="3"/>
  <c r="N212" i="3"/>
  <c r="M212" i="3"/>
  <c r="L212" i="3"/>
  <c r="K212" i="3"/>
  <c r="J212" i="3"/>
  <c r="I212" i="3"/>
  <c r="H212" i="3"/>
  <c r="G212" i="3"/>
  <c r="F212" i="3"/>
  <c r="B212" i="3"/>
  <c r="D203" i="3"/>
  <c r="X92" i="1" a="1"/>
  <c r="X92" i="1" s="1"/>
  <c r="X88" i="1"/>
  <c r="X88" i="1" a="1"/>
  <c r="X84" i="1" a="1"/>
  <c r="X84" i="1" s="1"/>
  <c r="X80" i="1" a="1"/>
  <c r="X80" i="1" s="1"/>
  <c r="X76" i="1" a="1"/>
  <c r="X76" i="1" s="1"/>
  <c r="X72" i="1"/>
  <c r="X72" i="1" a="1"/>
  <c r="X68" i="1" a="1"/>
  <c r="X68" i="1" s="1"/>
  <c r="X64" i="1"/>
  <c r="X64" i="1" a="1"/>
  <c r="X60" i="1" a="1"/>
  <c r="X60" i="1" s="1"/>
  <c r="X56" i="1" a="1"/>
  <c r="X56" i="1" s="1"/>
  <c r="X52" i="1" a="1"/>
  <c r="X52" i="1" s="1"/>
  <c r="X48" i="1"/>
  <c r="X48" i="1" a="1"/>
  <c r="X44" i="1" a="1"/>
  <c r="X44" i="1" s="1"/>
  <c r="X40" i="1"/>
  <c r="X40" i="1" a="1"/>
  <c r="X36" i="1" a="1"/>
  <c r="X36" i="1" s="1"/>
  <c r="X32" i="1" a="1"/>
  <c r="X32" i="1" s="1"/>
  <c r="X28" i="1" a="1"/>
  <c r="X28" i="1" s="1"/>
  <c r="X24" i="1"/>
  <c r="X24" i="1" a="1"/>
  <c r="X20" i="1" a="1"/>
  <c r="X20" i="1" s="1"/>
  <c r="X16" i="1"/>
  <c r="X16" i="1" a="1"/>
  <c r="X12" i="1" a="1"/>
  <c r="X12" i="1" s="1"/>
  <c r="X8" i="1" a="1"/>
  <c r="X8" i="1" s="1"/>
  <c r="C5" i="10" l="1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W5" i="10"/>
  <c r="X5" i="10"/>
  <c r="Y5" i="10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D26" i="15" l="1"/>
  <c r="R92" i="1" s="1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F24" i="15" l="1"/>
  <c r="G6" i="15"/>
  <c r="G9" i="15"/>
  <c r="G12" i="15"/>
  <c r="G15" i="15"/>
  <c r="G18" i="15"/>
  <c r="G21" i="15"/>
  <c r="G24" i="15"/>
  <c r="E7" i="15"/>
  <c r="E10" i="15"/>
  <c r="E13" i="15"/>
  <c r="E16" i="15"/>
  <c r="E19" i="15"/>
  <c r="E22" i="15"/>
  <c r="E25" i="15"/>
  <c r="F7" i="15"/>
  <c r="F10" i="15"/>
  <c r="F13" i="15"/>
  <c r="F16" i="15"/>
  <c r="F19" i="15"/>
  <c r="F22" i="15"/>
  <c r="F25" i="15"/>
  <c r="G7" i="15"/>
  <c r="G10" i="15"/>
  <c r="G13" i="15"/>
  <c r="G16" i="15"/>
  <c r="G19" i="15"/>
  <c r="G22" i="15"/>
  <c r="G25" i="15"/>
  <c r="E8" i="15"/>
  <c r="E11" i="15"/>
  <c r="E14" i="15"/>
  <c r="E17" i="15"/>
  <c r="E20" i="15"/>
  <c r="E23" i="15"/>
  <c r="E26" i="15"/>
  <c r="F8" i="15"/>
  <c r="F11" i="15"/>
  <c r="F14" i="15"/>
  <c r="F17" i="15"/>
  <c r="F20" i="15"/>
  <c r="F23" i="15"/>
  <c r="F26" i="15"/>
  <c r="G8" i="15"/>
  <c r="G11" i="15"/>
  <c r="G14" i="15"/>
  <c r="G17" i="15"/>
  <c r="G20" i="15"/>
  <c r="G23" i="15"/>
  <c r="G26" i="15"/>
  <c r="E5" i="15"/>
  <c r="D5" i="15" s="1"/>
  <c r="E6" i="15"/>
  <c r="E9" i="15"/>
  <c r="E12" i="15"/>
  <c r="E15" i="15"/>
  <c r="E18" i="15"/>
  <c r="E21" i="15"/>
  <c r="E24" i="15"/>
  <c r="F6" i="15"/>
  <c r="F9" i="15"/>
  <c r="F12" i="15"/>
  <c r="F15" i="15"/>
  <c r="F18" i="15"/>
  <c r="F21" i="15"/>
  <c r="F5" i="15"/>
  <c r="G5" i="15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C26" i="14" l="1"/>
  <c r="F26" i="14" s="1"/>
  <c r="C25" i="14"/>
  <c r="F25" i="14" s="1"/>
  <c r="C24" i="14"/>
  <c r="F24" i="14" s="1"/>
  <c r="C23" i="14"/>
  <c r="F23" i="14" s="1"/>
  <c r="C22" i="14"/>
  <c r="F22" i="14" s="1"/>
  <c r="C21" i="14"/>
  <c r="F21" i="14" s="1"/>
  <c r="C20" i="14"/>
  <c r="F20" i="14" s="1"/>
  <c r="C19" i="14"/>
  <c r="F19" i="14" s="1"/>
  <c r="C18" i="14"/>
  <c r="F18" i="14" s="1"/>
  <c r="C17" i="14"/>
  <c r="F17" i="14" s="1"/>
  <c r="C16" i="14"/>
  <c r="F16" i="14" s="1"/>
  <c r="C15" i="14"/>
  <c r="F15" i="14" s="1"/>
  <c r="C14" i="14"/>
  <c r="F14" i="14" s="1"/>
  <c r="C13" i="14"/>
  <c r="F13" i="14" s="1"/>
  <c r="C12" i="14"/>
  <c r="F12" i="14" s="1"/>
  <c r="C11" i="14"/>
  <c r="F11" i="14" s="1"/>
  <c r="C10" i="14"/>
  <c r="F10" i="14" s="1"/>
  <c r="C9" i="14"/>
  <c r="F9" i="14" s="1"/>
  <c r="C8" i="14"/>
  <c r="F8" i="14" s="1"/>
  <c r="C7" i="14"/>
  <c r="F7" i="14" s="1"/>
  <c r="C6" i="14"/>
  <c r="F6" i="14" s="1"/>
  <c r="C5" i="14"/>
  <c r="F5" i="14" s="1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D2" i="14"/>
  <c r="D26" i="14"/>
  <c r="H26" i="14" s="1"/>
  <c r="D25" i="14"/>
  <c r="I25" i="14" s="1"/>
  <c r="D24" i="14"/>
  <c r="I24" i="14" s="1"/>
  <c r="D23" i="14"/>
  <c r="I23" i="14" s="1"/>
  <c r="D22" i="14"/>
  <c r="H22" i="14" s="1"/>
  <c r="D21" i="14"/>
  <c r="H21" i="14" s="1"/>
  <c r="D20" i="14"/>
  <c r="H20" i="14" s="1"/>
  <c r="D19" i="14"/>
  <c r="H19" i="14" s="1"/>
  <c r="D18" i="14"/>
  <c r="H18" i="14" s="1"/>
  <c r="D17" i="14"/>
  <c r="H17" i="14" s="1"/>
  <c r="D16" i="14"/>
  <c r="H16" i="14" s="1"/>
  <c r="D15" i="14"/>
  <c r="I15" i="14" s="1"/>
  <c r="D14" i="14"/>
  <c r="H14" i="14" s="1"/>
  <c r="D13" i="14"/>
  <c r="I13" i="14" s="1"/>
  <c r="D12" i="14"/>
  <c r="I12" i="14" s="1"/>
  <c r="D11" i="14"/>
  <c r="I11" i="14" s="1"/>
  <c r="D10" i="14"/>
  <c r="H10" i="14" s="1"/>
  <c r="D9" i="14"/>
  <c r="H9" i="14" s="1"/>
  <c r="D8" i="14"/>
  <c r="H8" i="14" s="1"/>
  <c r="D7" i="14"/>
  <c r="H7" i="14" s="1"/>
  <c r="D6" i="14"/>
  <c r="H6" i="14" s="1"/>
  <c r="D5" i="14"/>
  <c r="H5" i="14" s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I73" i="3"/>
  <c r="J73" i="3"/>
  <c r="N73" i="3"/>
  <c r="O73" i="3"/>
  <c r="D74" i="3"/>
  <c r="I74" i="3"/>
  <c r="J74" i="3"/>
  <c r="N74" i="3"/>
  <c r="O74" i="3"/>
  <c r="D75" i="3"/>
  <c r="I75" i="3"/>
  <c r="J75" i="3"/>
  <c r="N75" i="3"/>
  <c r="O75" i="3"/>
  <c r="D76" i="3"/>
  <c r="I76" i="3"/>
  <c r="J76" i="3"/>
  <c r="N76" i="3"/>
  <c r="O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56" i="3"/>
  <c r="I156" i="3"/>
  <c r="J156" i="3"/>
  <c r="N156" i="3"/>
  <c r="O156" i="3"/>
  <c r="D157" i="3"/>
  <c r="I157" i="3"/>
  <c r="J157" i="3"/>
  <c r="N157" i="3"/>
  <c r="O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I169" i="3"/>
  <c r="I182" i="3" s="1"/>
  <c r="J169" i="3"/>
  <c r="J182" i="3" s="1"/>
  <c r="N169" i="3"/>
  <c r="N182" i="3" s="1"/>
  <c r="O169" i="3"/>
  <c r="O182" i="3" s="1"/>
  <c r="D170" i="3"/>
  <c r="I170" i="3"/>
  <c r="I183" i="3" s="1"/>
  <c r="J170" i="3"/>
  <c r="J183" i="3" s="1"/>
  <c r="N170" i="3"/>
  <c r="N183" i="3" s="1"/>
  <c r="O170" i="3"/>
  <c r="O183" i="3" s="1"/>
  <c r="D171" i="3"/>
  <c r="D172" i="3"/>
  <c r="D173" i="3"/>
  <c r="D174" i="3"/>
  <c r="D175" i="3"/>
  <c r="D176" i="3"/>
  <c r="D177" i="3"/>
  <c r="D178" i="3"/>
  <c r="D179" i="3"/>
  <c r="D180" i="3"/>
  <c r="D181" i="3"/>
  <c r="D195" i="3"/>
  <c r="D196" i="3"/>
  <c r="D197" i="3"/>
  <c r="D198" i="3"/>
  <c r="D199" i="3"/>
  <c r="D200" i="3"/>
  <c r="D201" i="3"/>
  <c r="D202" i="3"/>
  <c r="H60" i="12"/>
  <c r="D60" i="12"/>
  <c r="C60" i="12"/>
  <c r="N60" i="12" s="1"/>
  <c r="H59" i="12"/>
  <c r="D59" i="12"/>
  <c r="C59" i="12"/>
  <c r="N59" i="12" s="1"/>
  <c r="H58" i="12"/>
  <c r="D58" i="12"/>
  <c r="C58" i="12"/>
  <c r="N58" i="12" s="1"/>
  <c r="H57" i="12"/>
  <c r="D57" i="12"/>
  <c r="C57" i="12"/>
  <c r="N57" i="12" s="1"/>
  <c r="H56" i="12"/>
  <c r="D56" i="12"/>
  <c r="C56" i="12"/>
  <c r="N56" i="12" s="1"/>
  <c r="H55" i="12"/>
  <c r="D55" i="12"/>
  <c r="C55" i="12"/>
  <c r="N55" i="12" s="1"/>
  <c r="H54" i="12"/>
  <c r="D54" i="12"/>
  <c r="C54" i="12"/>
  <c r="N54" i="12" s="1"/>
  <c r="H53" i="12"/>
  <c r="D53" i="12"/>
  <c r="C53" i="12"/>
  <c r="N53" i="12" s="1"/>
  <c r="H52" i="12"/>
  <c r="D52" i="12"/>
  <c r="C52" i="12"/>
  <c r="N52" i="12" s="1"/>
  <c r="H51" i="12"/>
  <c r="D51" i="12"/>
  <c r="C51" i="12"/>
  <c r="N51" i="12" s="1"/>
  <c r="H50" i="12"/>
  <c r="D50" i="12"/>
  <c r="C50" i="12"/>
  <c r="N50" i="12" s="1"/>
  <c r="H49" i="12"/>
  <c r="D49" i="12"/>
  <c r="C49" i="12"/>
  <c r="N49" i="12" s="1"/>
  <c r="H48" i="12"/>
  <c r="D48" i="12"/>
  <c r="C48" i="12"/>
  <c r="N48" i="12" s="1"/>
  <c r="H47" i="12"/>
  <c r="D47" i="12"/>
  <c r="C47" i="12"/>
  <c r="N47" i="12" s="1"/>
  <c r="H46" i="12"/>
  <c r="D46" i="12"/>
  <c r="C46" i="12"/>
  <c r="N46" i="12" s="1"/>
  <c r="H45" i="12"/>
  <c r="D45" i="12"/>
  <c r="C45" i="12"/>
  <c r="N45" i="12" s="1"/>
  <c r="H44" i="12"/>
  <c r="D44" i="12"/>
  <c r="C44" i="12"/>
  <c r="N44" i="12" s="1"/>
  <c r="H43" i="12"/>
  <c r="D43" i="12"/>
  <c r="C43" i="12"/>
  <c r="N43" i="12" s="1"/>
  <c r="H42" i="12"/>
  <c r="D42" i="12"/>
  <c r="C42" i="12"/>
  <c r="N42" i="12" s="1"/>
  <c r="H41" i="12"/>
  <c r="D41" i="12"/>
  <c r="C41" i="12"/>
  <c r="N41" i="12" s="1"/>
  <c r="H40" i="12"/>
  <c r="D40" i="12"/>
  <c r="C40" i="12"/>
  <c r="N40" i="12" s="1"/>
  <c r="H39" i="12"/>
  <c r="D39" i="12"/>
  <c r="C39" i="12"/>
  <c r="N39" i="12" s="1"/>
  <c r="G33" i="12"/>
  <c r="D3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C30" i="12"/>
  <c r="F30" i="12" s="1"/>
  <c r="C29" i="12"/>
  <c r="C28" i="12"/>
  <c r="C27" i="12"/>
  <c r="F27" i="12" s="1"/>
  <c r="C26" i="12"/>
  <c r="C25" i="12"/>
  <c r="H25" i="12" s="1"/>
  <c r="C24" i="12"/>
  <c r="C23" i="12"/>
  <c r="C22" i="12"/>
  <c r="F22" i="12" s="1"/>
  <c r="E22" i="12" s="1"/>
  <c r="P60" i="1" s="1"/>
  <c r="C21" i="12"/>
  <c r="I21" i="12" s="1"/>
  <c r="C20" i="12"/>
  <c r="C19" i="12"/>
  <c r="C18" i="12"/>
  <c r="C17" i="12"/>
  <c r="C16" i="12"/>
  <c r="H16" i="12" s="1"/>
  <c r="C15" i="12"/>
  <c r="C14" i="12"/>
  <c r="C13" i="12"/>
  <c r="C12" i="12"/>
  <c r="F12" i="12" s="1"/>
  <c r="C11" i="12"/>
  <c r="C10" i="12"/>
  <c r="H10" i="12" s="1"/>
  <c r="C9" i="12"/>
  <c r="H9" i="12" s="1"/>
  <c r="G24" i="14" l="1"/>
  <c r="E24" i="14" s="1"/>
  <c r="G12" i="14"/>
  <c r="E12" i="14" s="1"/>
  <c r="G13" i="14"/>
  <c r="E13" i="14" s="1"/>
  <c r="G15" i="14"/>
  <c r="E15" i="14" s="1"/>
  <c r="G25" i="14"/>
  <c r="G11" i="14"/>
  <c r="E11" i="14" s="1"/>
  <c r="G23" i="14"/>
  <c r="E23" i="14" s="1"/>
  <c r="W48" i="1"/>
  <c r="W32" i="1"/>
  <c r="W80" i="1"/>
  <c r="W36" i="1"/>
  <c r="W84" i="1"/>
  <c r="W40" i="1"/>
  <c r="G58" i="12"/>
  <c r="I16" i="14"/>
  <c r="G16" i="14" s="1"/>
  <c r="H13" i="14"/>
  <c r="H24" i="14"/>
  <c r="H15" i="14"/>
  <c r="I17" i="14"/>
  <c r="G17" i="14" s="1"/>
  <c r="I26" i="14"/>
  <c r="G26" i="14" s="1"/>
  <c r="H12" i="14"/>
  <c r="H25" i="14"/>
  <c r="I5" i="14"/>
  <c r="G5" i="14" s="1"/>
  <c r="I14" i="14"/>
  <c r="G14" i="14" s="1"/>
  <c r="H11" i="14"/>
  <c r="H23" i="14"/>
  <c r="I6" i="14"/>
  <c r="G6" i="14" s="1"/>
  <c r="I18" i="14"/>
  <c r="G18" i="14" s="1"/>
  <c r="I7" i="14"/>
  <c r="G7" i="14" s="1"/>
  <c r="I19" i="14"/>
  <c r="G19" i="14" s="1"/>
  <c r="I8" i="14"/>
  <c r="G8" i="14" s="1"/>
  <c r="I20" i="14"/>
  <c r="G20" i="14" s="1"/>
  <c r="I9" i="14"/>
  <c r="G9" i="14" s="1"/>
  <c r="I21" i="14"/>
  <c r="G21" i="14" s="1"/>
  <c r="I10" i="14"/>
  <c r="G10" i="14" s="1"/>
  <c r="I22" i="14"/>
  <c r="G22" i="14" s="1"/>
  <c r="G60" i="12"/>
  <c r="G59" i="12"/>
  <c r="G57" i="12"/>
  <c r="G16" i="12"/>
  <c r="G10" i="12"/>
  <c r="I39" i="12"/>
  <c r="F39" i="12" s="1"/>
  <c r="E39" i="12" s="1"/>
  <c r="U8" i="1" s="1"/>
  <c r="I40" i="12"/>
  <c r="F40" i="12" s="1"/>
  <c r="E40" i="12" s="1"/>
  <c r="U12" i="1" s="1"/>
  <c r="I41" i="12"/>
  <c r="F41" i="12" s="1"/>
  <c r="E41" i="12" s="1"/>
  <c r="U16" i="1" s="1"/>
  <c r="I42" i="12"/>
  <c r="F42" i="12" s="1"/>
  <c r="E42" i="12" s="1"/>
  <c r="U20" i="1" s="1"/>
  <c r="I43" i="12"/>
  <c r="F43" i="12" s="1"/>
  <c r="E43" i="12" s="1"/>
  <c r="U24" i="1" s="1"/>
  <c r="I44" i="12"/>
  <c r="F44" i="12" s="1"/>
  <c r="E44" i="12" s="1"/>
  <c r="U28" i="1" s="1"/>
  <c r="I45" i="12"/>
  <c r="F45" i="12" s="1"/>
  <c r="E45" i="12" s="1"/>
  <c r="U32" i="1" s="1"/>
  <c r="I46" i="12"/>
  <c r="F46" i="12" s="1"/>
  <c r="E46" i="12" s="1"/>
  <c r="U36" i="1" s="1"/>
  <c r="I47" i="12"/>
  <c r="F47" i="12" s="1"/>
  <c r="E47" i="12" s="1"/>
  <c r="U40" i="1" s="1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J39" i="12"/>
  <c r="J40" i="12"/>
  <c r="J41" i="12"/>
  <c r="J42" i="12"/>
  <c r="J43" i="12"/>
  <c r="J44" i="12"/>
  <c r="J45" i="12"/>
  <c r="J46" i="12"/>
  <c r="J47" i="12"/>
  <c r="J48" i="12"/>
  <c r="F48" i="12" s="1"/>
  <c r="E48" i="12" s="1"/>
  <c r="U44" i="1" s="1"/>
  <c r="J49" i="12"/>
  <c r="F49" i="12" s="1"/>
  <c r="E49" i="12" s="1"/>
  <c r="U48" i="1" s="1"/>
  <c r="J50" i="12"/>
  <c r="F50" i="12" s="1"/>
  <c r="E50" i="12" s="1"/>
  <c r="U52" i="1" s="1"/>
  <c r="J51" i="12"/>
  <c r="F51" i="12" s="1"/>
  <c r="E51" i="12" s="1"/>
  <c r="U56" i="1" s="1"/>
  <c r="J52" i="12"/>
  <c r="F52" i="12" s="1"/>
  <c r="E52" i="12" s="1"/>
  <c r="U60" i="1" s="1"/>
  <c r="J53" i="12"/>
  <c r="F53" i="12" s="1"/>
  <c r="E53" i="12" s="1"/>
  <c r="U64" i="1" s="1"/>
  <c r="J54" i="12"/>
  <c r="F54" i="12" s="1"/>
  <c r="E54" i="12" s="1"/>
  <c r="U68" i="1" s="1"/>
  <c r="J55" i="12"/>
  <c r="F55" i="12" s="1"/>
  <c r="E55" i="12" s="1"/>
  <c r="U72" i="1" s="1"/>
  <c r="J56" i="12"/>
  <c r="F56" i="12" s="1"/>
  <c r="E56" i="12" s="1"/>
  <c r="U76" i="1" s="1"/>
  <c r="J57" i="12"/>
  <c r="J58" i="12"/>
  <c r="J59" i="12"/>
  <c r="J60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F57" i="12" s="1"/>
  <c r="E57" i="12" s="1"/>
  <c r="U80" i="1" s="1"/>
  <c r="K58" i="12"/>
  <c r="F58" i="12" s="1"/>
  <c r="E58" i="12" s="1"/>
  <c r="U84" i="1" s="1"/>
  <c r="K59" i="12"/>
  <c r="F59" i="12" s="1"/>
  <c r="E59" i="12" s="1"/>
  <c r="U88" i="1" s="1"/>
  <c r="K60" i="12"/>
  <c r="F60" i="12" s="1"/>
  <c r="E60" i="12" s="1"/>
  <c r="U92" i="1" s="1"/>
  <c r="L39" i="12"/>
  <c r="G39" i="12" s="1"/>
  <c r="L40" i="12"/>
  <c r="G40" i="12" s="1"/>
  <c r="L41" i="12"/>
  <c r="G41" i="12" s="1"/>
  <c r="L42" i="12"/>
  <c r="G42" i="12" s="1"/>
  <c r="L43" i="12"/>
  <c r="G43" i="12" s="1"/>
  <c r="L44" i="12"/>
  <c r="G44" i="12" s="1"/>
  <c r="L45" i="12"/>
  <c r="G45" i="12" s="1"/>
  <c r="L46" i="12"/>
  <c r="G46" i="12" s="1"/>
  <c r="L47" i="12"/>
  <c r="G47" i="12" s="1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M39" i="12"/>
  <c r="M40" i="12"/>
  <c r="M41" i="12"/>
  <c r="M42" i="12"/>
  <c r="M43" i="12"/>
  <c r="M44" i="12"/>
  <c r="M45" i="12"/>
  <c r="M46" i="12"/>
  <c r="M47" i="12"/>
  <c r="M48" i="12"/>
  <c r="G48" i="12" s="1"/>
  <c r="M49" i="12"/>
  <c r="G49" i="12" s="1"/>
  <c r="M50" i="12"/>
  <c r="G50" i="12" s="1"/>
  <c r="M51" i="12"/>
  <c r="G51" i="12" s="1"/>
  <c r="M52" i="12"/>
  <c r="G52" i="12" s="1"/>
  <c r="M53" i="12"/>
  <c r="G53" i="12" s="1"/>
  <c r="M54" i="12"/>
  <c r="G54" i="12" s="1"/>
  <c r="M55" i="12"/>
  <c r="G55" i="12" s="1"/>
  <c r="M56" i="12"/>
  <c r="G56" i="12" s="1"/>
  <c r="M57" i="12"/>
  <c r="M58" i="12"/>
  <c r="M59" i="12"/>
  <c r="M60" i="12"/>
  <c r="I17" i="12"/>
  <c r="I29" i="12"/>
  <c r="F20" i="12"/>
  <c r="E20" i="12" s="1"/>
  <c r="P52" i="1" s="1"/>
  <c r="I19" i="12"/>
  <c r="H11" i="12"/>
  <c r="G11" i="12" s="1"/>
  <c r="E11" i="12" s="1"/>
  <c r="P16" i="1" s="1"/>
  <c r="F23" i="12"/>
  <c r="E23" i="12" s="1"/>
  <c r="P64" i="1" s="1"/>
  <c r="E30" i="12"/>
  <c r="P92" i="1" s="1"/>
  <c r="H15" i="12"/>
  <c r="G15" i="12" s="1"/>
  <c r="E15" i="12" s="1"/>
  <c r="P32" i="1" s="1"/>
  <c r="H18" i="12"/>
  <c r="G18" i="12" s="1"/>
  <c r="H27" i="12"/>
  <c r="G27" i="12" s="1"/>
  <c r="H30" i="12"/>
  <c r="G30" i="12" s="1"/>
  <c r="I24" i="12"/>
  <c r="F10" i="12"/>
  <c r="F11" i="12"/>
  <c r="I26" i="12"/>
  <c r="F15" i="12"/>
  <c r="F18" i="12"/>
  <c r="E18" i="12" s="1"/>
  <c r="P44" i="1" s="1"/>
  <c r="I28" i="12"/>
  <c r="F19" i="12"/>
  <c r="E19" i="12" s="1"/>
  <c r="P48" i="1" s="1"/>
  <c r="I20" i="12"/>
  <c r="I10" i="12"/>
  <c r="I16" i="12"/>
  <c r="F14" i="12"/>
  <c r="F26" i="12"/>
  <c r="E26" i="12" s="1"/>
  <c r="P76" i="1" s="1"/>
  <c r="I22" i="12"/>
  <c r="I11" i="12"/>
  <c r="H23" i="12"/>
  <c r="G23" i="12" s="1"/>
  <c r="F16" i="12"/>
  <c r="F28" i="12"/>
  <c r="E28" i="12" s="1"/>
  <c r="P84" i="1" s="1"/>
  <c r="H12" i="12"/>
  <c r="G12" i="12" s="1"/>
  <c r="E12" i="12" s="1"/>
  <c r="P20" i="1" s="1"/>
  <c r="I23" i="12"/>
  <c r="F17" i="12"/>
  <c r="F29" i="12"/>
  <c r="E29" i="12" s="1"/>
  <c r="P88" i="1" s="1"/>
  <c r="I12" i="12"/>
  <c r="I25" i="12"/>
  <c r="E27" i="12"/>
  <c r="P80" i="1" s="1"/>
  <c r="I13" i="12"/>
  <c r="H13" i="12"/>
  <c r="G13" i="12" s="1"/>
  <c r="E13" i="12" s="1"/>
  <c r="P24" i="1" s="1"/>
  <c r="I27" i="12"/>
  <c r="H14" i="12"/>
  <c r="G14" i="12" s="1"/>
  <c r="E14" i="12" s="1"/>
  <c r="P28" i="1" s="1"/>
  <c r="F9" i="12"/>
  <c r="F21" i="12"/>
  <c r="E21" i="12" s="1"/>
  <c r="P56" i="1" s="1"/>
  <c r="I14" i="12"/>
  <c r="I18" i="12"/>
  <c r="I30" i="12"/>
  <c r="I15" i="12"/>
  <c r="F24" i="12"/>
  <c r="E24" i="12" s="1"/>
  <c r="P68" i="1" s="1"/>
  <c r="F13" i="12"/>
  <c r="F25" i="12"/>
  <c r="E25" i="12" s="1"/>
  <c r="P72" i="1" s="1"/>
  <c r="E10" i="12"/>
  <c r="P12" i="1" s="1"/>
  <c r="E16" i="12"/>
  <c r="P36" i="1" s="1"/>
  <c r="G25" i="12"/>
  <c r="G9" i="12"/>
  <c r="H28" i="12"/>
  <c r="G28" i="12" s="1"/>
  <c r="H29" i="12"/>
  <c r="G29" i="12" s="1"/>
  <c r="H24" i="12"/>
  <c r="G24" i="12" s="1"/>
  <c r="H19" i="12"/>
  <c r="G19" i="12" s="1"/>
  <c r="H20" i="12"/>
  <c r="G20" i="12" s="1"/>
  <c r="H26" i="12"/>
  <c r="G26" i="12" s="1"/>
  <c r="H21" i="12"/>
  <c r="G21" i="12" s="1"/>
  <c r="H22" i="12"/>
  <c r="G22" i="12" s="1"/>
  <c r="H17" i="12"/>
  <c r="G17" i="12" s="1"/>
  <c r="E17" i="12" s="1"/>
  <c r="P40" i="1" s="1"/>
  <c r="I9" i="12"/>
  <c r="E9" i="12" l="1"/>
  <c r="P8" i="1" s="1"/>
  <c r="R8" i="1" s="1"/>
  <c r="W12" i="1"/>
  <c r="E6" i="14"/>
  <c r="W52" i="1"/>
  <c r="E16" i="14"/>
  <c r="W76" i="1"/>
  <c r="E22" i="14"/>
  <c r="W44" i="1"/>
  <c r="E14" i="14"/>
  <c r="W20" i="1"/>
  <c r="E8" i="14"/>
  <c r="E5" i="14"/>
  <c r="W8" i="1" s="1"/>
  <c r="W24" i="1"/>
  <c r="E9" i="14"/>
  <c r="W60" i="1"/>
  <c r="E18" i="14"/>
  <c r="W28" i="1"/>
  <c r="E10" i="14"/>
  <c r="W72" i="1"/>
  <c r="E21" i="14"/>
  <c r="W68" i="1"/>
  <c r="E20" i="14"/>
  <c r="W92" i="1"/>
  <c r="E26" i="14"/>
  <c r="W56" i="1"/>
  <c r="E17" i="14"/>
  <c r="W64" i="1"/>
  <c r="E19" i="14"/>
  <c r="W16" i="1"/>
  <c r="E7" i="14"/>
  <c r="W88" i="1"/>
  <c r="E25" i="14"/>
  <c r="V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FC38B1D6-7CCA-4A3E-BD18-A2841689B711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J3" authorId="0" shapeId="0" xr:uid="{5EFBD57A-7939-4039-8AE0-46483866F812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O3" authorId="0" shapeId="0" xr:uid="{D5A12882-08DA-4089-A476-F5537907C758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Q6" authorId="0" shapeId="0" xr:uid="{2D4BCF03-088F-4882-A196-25BAA80780F9}">
      <text>
        <r>
          <rPr>
            <sz val="9"/>
            <color indexed="81"/>
            <rFont val="MS P ゴシック"/>
            <family val="3"/>
            <charset val="128"/>
          </rPr>
          <t>ケーブルラックは略号にて記載している。
略号の例は次の通り。
2S4:ケーブルラック2段、配線条数4条</t>
        </r>
      </text>
    </comment>
    <comment ref="A8" authorId="0" shapeId="0" xr:uid="{7EB97248-8ECD-435A-A901-1C24CD4A902C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B8" authorId="0" shapeId="0" xr:uid="{22619C99-4E27-4126-8AB1-917565BEFBC2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C8" authorId="0" shapeId="0" xr:uid="{A7549CFD-5604-4457-BD59-07267F22A3D4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D8" authorId="0" shapeId="0" xr:uid="{44833BE0-36E4-4BC0-95C7-9C9296293ECC}">
      <text>
        <r>
          <rPr>
            <sz val="9"/>
            <color indexed="81"/>
            <rFont val="MS P ゴシック"/>
            <family val="3"/>
            <charset val="128"/>
          </rPr>
          <t>配線用遮断器のAT値を
リストより選択</t>
        </r>
      </text>
    </comment>
    <comment ref="H8" authorId="0" shapeId="0" xr:uid="{B2BC9107-0D38-430A-84C0-2019FDE9A157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I8" authorId="0" shapeId="0" xr:uid="{EF1A3956-A16E-4904-91AC-979FCC6CC44E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J8" authorId="0" shapeId="0" xr:uid="{3478A759-4254-48A2-A9E5-E5D6B74D23B5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K8" authorId="0" shapeId="0" xr:uid="{5A0AF593-6AF7-4200-972B-27ADA5DB9BFB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L8" authorId="0" shapeId="0" xr:uid="{90C58AE2-150C-4FDC-8F52-13547EAF2F87}">
      <text>
        <r>
          <rPr>
            <sz val="9"/>
            <color indexed="81"/>
            <rFont val="MS P ゴシック"/>
            <family val="3"/>
            <charset val="128"/>
          </rPr>
          <t>配線用遮断器のAT値を
リストより選択</t>
        </r>
      </text>
    </comment>
    <comment ref="M8" authorId="0" shapeId="0" xr:uid="{F0C9D5B6-D728-4013-A6C9-8A65D4319145}">
      <text>
        <r>
          <rPr>
            <sz val="9"/>
            <color indexed="81"/>
            <rFont val="MS P ゴシック"/>
            <family val="3"/>
            <charset val="128"/>
          </rPr>
          <t>手動入力</t>
        </r>
      </text>
    </comment>
    <comment ref="N8" authorId="0" shapeId="0" xr:uid="{959EEBB1-8D0E-4185-B955-C25ABB554CAC}">
      <text>
        <r>
          <rPr>
            <sz val="9"/>
            <color indexed="81"/>
            <rFont val="MS P ゴシック"/>
            <family val="3"/>
            <charset val="128"/>
          </rPr>
          <t>リストより選択
同一電線内に中性線、接地線及び制御回路を含む場合、
許容電流値を補正する必要が有る為、リスト内の
電線は末尾「*」のものを選択する。</t>
        </r>
      </text>
    </comment>
    <comment ref="O8" authorId="0" shapeId="0" xr:uid="{694C56AA-65F3-406C-BA16-B600D59E57FB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Q8" authorId="0" shapeId="0" xr:uid="{83420874-5983-4FD5-98C1-13AB212ABE52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  <comment ref="T8" authorId="0" shapeId="0" xr:uid="{B72F90C7-D231-4E76-81E4-59318FA0BC1C}">
      <text>
        <r>
          <rPr>
            <sz val="9"/>
            <color indexed="81"/>
            <rFont val="MS P ゴシック"/>
            <family val="3"/>
            <charset val="128"/>
          </rPr>
          <t>負荷の力率をリストより選択
0.95：電灯（コンセントを含む）
0.9 ：低圧電動機（制御盤内コンデンサあり）
0.8 ：低圧電動機（制御盤内コンデンサなし）</t>
        </r>
      </text>
    </comment>
    <comment ref="V8" authorId="0" shapeId="0" xr:uid="{3249F992-8AB8-4DA5-963E-498545B5B0A3}">
      <text>
        <r>
          <rPr>
            <sz val="9"/>
            <color indexed="81"/>
            <rFont val="MS P ゴシック"/>
            <family val="3"/>
            <charset val="128"/>
          </rPr>
          <t>幹線分岐の場合は、
この欄へ合計値を入力</t>
        </r>
      </text>
    </comment>
    <comment ref="J10" authorId="0" shapeId="0" xr:uid="{BE641F07-E8B8-4667-9BC0-4CF7A35B2B59}">
      <text>
        <r>
          <rPr>
            <sz val="9"/>
            <color indexed="81"/>
            <rFont val="MS P ゴシック"/>
            <family val="3"/>
            <charset val="128"/>
          </rPr>
          <t>幹線保護用遮断器の定格電流と
低減率を乗じて、計算結果を手動入力</t>
        </r>
      </text>
    </comment>
    <comment ref="Q10" authorId="0" shapeId="0" xr:uid="{F84075EB-CBDE-47FE-88E0-D79AD37362BC}">
      <text>
        <r>
          <rPr>
            <sz val="9"/>
            <color indexed="81"/>
            <rFont val="MS P ゴシック"/>
            <family val="3"/>
            <charset val="128"/>
          </rPr>
          <t>リストより選択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3" authorId="0" shapeId="0" xr:uid="{936C48B9-DF93-4BB3-897E-3132CB9C5716}">
      <text>
        <r>
          <rPr>
            <sz val="9"/>
            <color indexed="81"/>
            <rFont val="MS P ゴシック"/>
            <family val="3"/>
            <charset val="128"/>
          </rPr>
          <t>太枠内は、SWCC技術資料のCE、CETの
「気中・暗渠における電線管敷設」を準用</t>
        </r>
      </text>
    </comment>
    <comment ref="D77" authorId="0" shapeId="0" xr:uid="{920C45E1-A3B7-491D-871A-C2A8E995EB20}">
      <text>
        <r>
          <rPr>
            <sz val="9"/>
            <color indexed="81"/>
            <rFont val="MS P ゴシック"/>
            <family val="3"/>
            <charset val="128"/>
          </rPr>
          <t>太枠内は、SWCC技術資料のCE、CETの
「気中・暗渠における電線管敷設」より
温度補正係数は次の通り
20℃：1.18
25℃：1.14
30℃：1.10
35℃：1.05
45℃：0.95
50℃：0.89
内線規程掲載の数値は、土中埋設管路の場合</t>
        </r>
      </text>
    </comment>
    <comment ref="O129" authorId="0" shapeId="0" xr:uid="{FA52F682-A656-483B-A65B-EEDE134DB1BC}">
      <text>
        <r>
          <rPr>
            <sz val="9"/>
            <color indexed="81"/>
            <rFont val="MS P ゴシック"/>
            <family val="3"/>
            <charset val="128"/>
          </rPr>
          <t>太枠内は、電線工業会技資103号Aの
③、④表より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<sst xmlns="http://schemas.openxmlformats.org/spreadsheetml/2006/main" count="333" uniqueCount="282">
  <si>
    <t>電路計算書（幹線用）</t>
    <rPh sb="0" eb="2">
      <t>デンロ</t>
    </rPh>
    <rPh sb="2" eb="5">
      <t>ケイサンショ</t>
    </rPh>
    <rPh sb="6" eb="8">
      <t>カンセン</t>
    </rPh>
    <rPh sb="8" eb="9">
      <t>ヨウ</t>
    </rPh>
    <phoneticPr fontId="10"/>
  </si>
  <si>
    <t>負荷
名称</t>
    <rPh sb="0" eb="2">
      <t>フカ</t>
    </rPh>
    <rPh sb="3" eb="5">
      <t>メイショウ</t>
    </rPh>
    <phoneticPr fontId="10"/>
  </si>
  <si>
    <t>cosθ</t>
  </si>
  <si>
    <t>こう長</t>
    <rPh sb="2" eb="3">
      <t>チョウ</t>
    </rPh>
    <phoneticPr fontId="10"/>
  </si>
  <si>
    <t>電 圧</t>
    <rPh sb="0" eb="3">
      <t>デンアツ</t>
    </rPh>
    <phoneticPr fontId="10"/>
  </si>
  <si>
    <t>周波数</t>
  </si>
  <si>
    <t>系　　統</t>
    <rPh sb="0" eb="4">
      <t>ケイトウ</t>
    </rPh>
    <phoneticPr fontId="10"/>
  </si>
  <si>
    <t>幹線保護用遮断器定格電流</t>
    <rPh sb="0" eb="2">
      <t>カンセン</t>
    </rPh>
    <rPh sb="2" eb="5">
      <t>ホゴヨウ</t>
    </rPh>
    <rPh sb="8" eb="10">
      <t>テイカク</t>
    </rPh>
    <rPh sb="10" eb="12">
      <t>デンリュウ</t>
    </rPh>
    <phoneticPr fontId="10"/>
  </si>
  <si>
    <t>主幹器具
定格電流</t>
    <rPh sb="0" eb="2">
      <t>シュカン</t>
    </rPh>
    <rPh sb="2" eb="4">
      <t>キグ</t>
    </rPh>
    <rPh sb="5" eb="7">
      <t>テイカク</t>
    </rPh>
    <rPh sb="7" eb="9">
      <t>デンリュウ</t>
    </rPh>
    <phoneticPr fontId="10"/>
  </si>
  <si>
    <t>負荷の
力率</t>
    <rPh sb="0" eb="2">
      <t>フカ</t>
    </rPh>
    <rPh sb="4" eb="5">
      <t>リキ</t>
    </rPh>
    <rPh sb="5" eb="6">
      <t>リツ</t>
    </rPh>
    <phoneticPr fontId="10"/>
  </si>
  <si>
    <t>電線１kmあたりのインピーダンス</t>
    <rPh sb="0" eb="2">
      <t>デンセン</t>
    </rPh>
    <phoneticPr fontId="10"/>
  </si>
  <si>
    <t>許容
電流</t>
    <rPh sb="0" eb="2">
      <t>キョヨウ</t>
    </rPh>
    <rPh sb="3" eb="5">
      <t>デンリュウ</t>
    </rPh>
    <phoneticPr fontId="10"/>
  </si>
  <si>
    <t>許容
電圧降下</t>
    <rPh sb="0" eb="2">
      <t>キョヨウ</t>
    </rPh>
    <rPh sb="3" eb="4">
      <t>デン</t>
    </rPh>
    <phoneticPr fontId="10"/>
  </si>
  <si>
    <t>幹線番号
又は名称</t>
    <rPh sb="0" eb="2">
      <t>カンセン</t>
    </rPh>
    <rPh sb="2" eb="4">
      <t>バンゴウ</t>
    </rPh>
    <rPh sb="5" eb="6">
      <t>マタ</t>
    </rPh>
    <rPh sb="7" eb="8">
      <t>ナ</t>
    </rPh>
    <rPh sb="8" eb="9">
      <t>ショウ</t>
    </rPh>
    <phoneticPr fontId="10"/>
  </si>
  <si>
    <t>幹線分岐</t>
  </si>
  <si>
    <t>K</t>
  </si>
  <si>
    <t>電気方式
による
係数</t>
    <rPh sb="0" eb="2">
      <t>デンキ</t>
    </rPh>
    <rPh sb="2" eb="4">
      <t>ホウシキ</t>
    </rPh>
    <rPh sb="9" eb="11">
      <t>ケイスウ</t>
    </rPh>
    <phoneticPr fontId="10"/>
  </si>
  <si>
    <t>ケーブルラック配線</t>
    <rPh sb="7" eb="9">
      <t>ハイセン</t>
    </rPh>
    <phoneticPr fontId="10"/>
  </si>
  <si>
    <t>許容電流低減率</t>
  </si>
  <si>
    <t>許容
電流</t>
  </si>
  <si>
    <t>負　　荷</t>
    <rPh sb="0" eb="1">
      <t>フ</t>
    </rPh>
    <rPh sb="3" eb="4">
      <t>ニ</t>
    </rPh>
    <phoneticPr fontId="10"/>
  </si>
  <si>
    <t>[A]</t>
  </si>
  <si>
    <t>電気
方式</t>
    <rPh sb="0" eb="2">
      <t>デンキ</t>
    </rPh>
    <rPh sb="3" eb="5">
      <t>ホウシキ</t>
    </rPh>
    <phoneticPr fontId="10"/>
  </si>
  <si>
    <t>電圧降下</t>
  </si>
  <si>
    <t>許容電流</t>
    <rPh sb="0" eb="2">
      <t>キョヨウ</t>
    </rPh>
    <rPh sb="2" eb="4">
      <t>デンリュウ</t>
    </rPh>
    <phoneticPr fontId="10"/>
  </si>
  <si>
    <t>受変電設備等</t>
    <rPh sb="0" eb="3">
      <t>ジュヘンデン</t>
    </rPh>
    <rPh sb="3" eb="5">
      <t>セツビ</t>
    </rPh>
    <rPh sb="5" eb="6">
      <t>トウ</t>
    </rPh>
    <phoneticPr fontId="10"/>
  </si>
  <si>
    <t>[V]</t>
  </si>
  <si>
    <t>I[A]</t>
  </si>
  <si>
    <t>ℓ[m]</t>
  </si>
  <si>
    <t>A[mm2]</t>
  </si>
  <si>
    <t>Z[Ω/km]</t>
  </si>
  <si>
    <t>[V]</t>
    <phoneticPr fontId="10"/>
  </si>
  <si>
    <t>e</t>
    <phoneticPr fontId="10"/>
  </si>
  <si>
    <t>幹　　線</t>
    <phoneticPr fontId="10"/>
  </si>
  <si>
    <t>種別及び
導体太さ</t>
    <rPh sb="0" eb="2">
      <t>シュベツ</t>
    </rPh>
    <rPh sb="2" eb="3">
      <t>オヨ</t>
    </rPh>
    <rPh sb="5" eb="7">
      <t>ドウタイ</t>
    </rPh>
    <rPh sb="7" eb="8">
      <t>フト</t>
    </rPh>
    <phoneticPr fontId="10"/>
  </si>
  <si>
    <t>分岐幹線の
許容電流</t>
    <rPh sb="0" eb="2">
      <t>ブンキ</t>
    </rPh>
    <rPh sb="2" eb="4">
      <t>カンセン</t>
    </rPh>
    <phoneticPr fontId="10"/>
  </si>
  <si>
    <t>設計負荷電流</t>
    <rPh sb="0" eb="2">
      <t>セッケイ</t>
    </rPh>
    <rPh sb="2" eb="4">
      <t>フカ</t>
    </rPh>
    <rPh sb="4" eb="6">
      <t>デンリュウ</t>
    </rPh>
    <phoneticPr fontId="10"/>
  </si>
  <si>
    <t>配　線
方　式</t>
    <rPh sb="0" eb="1">
      <t>クバ</t>
    </rPh>
    <rPh sb="2" eb="3">
      <t>セン</t>
    </rPh>
    <rPh sb="4" eb="5">
      <t>カタ</t>
    </rPh>
    <rPh sb="6" eb="7">
      <t>シキ</t>
    </rPh>
    <phoneticPr fontId="10"/>
  </si>
  <si>
    <t>電線の種類</t>
    <rPh sb="0" eb="2">
      <t>デンセン</t>
    </rPh>
    <rPh sb="3" eb="5">
      <t>シュルイ</t>
    </rPh>
    <phoneticPr fontId="21"/>
  </si>
  <si>
    <t>導体抵抗</t>
    <rPh sb="0" eb="4">
      <t>ドウタイテイコウ</t>
    </rPh>
    <phoneticPr fontId="21"/>
  </si>
  <si>
    <t>周波数(Hz)</t>
    <rPh sb="0" eb="3">
      <t>シュウハスウ</t>
    </rPh>
    <phoneticPr fontId="21"/>
  </si>
  <si>
    <t>許容電流(A)</t>
    <rPh sb="0" eb="4">
      <t>キョヨウデンリュウ</t>
    </rPh>
    <phoneticPr fontId="21"/>
  </si>
  <si>
    <t>EM-IE1.6×3以下</t>
    <rPh sb="10" eb="12">
      <t>イカ</t>
    </rPh>
    <phoneticPr fontId="10"/>
  </si>
  <si>
    <t>EM-IE2.0×3以下</t>
    <rPh sb="10" eb="12">
      <t>イカ</t>
    </rPh>
    <phoneticPr fontId="10"/>
  </si>
  <si>
    <t>EM-IE5.5×3以下</t>
    <rPh sb="10" eb="12">
      <t>イカ</t>
    </rPh>
    <phoneticPr fontId="10"/>
  </si>
  <si>
    <t>EM-IE8×3以下</t>
    <rPh sb="8" eb="10">
      <t>イカ</t>
    </rPh>
    <phoneticPr fontId="10"/>
  </si>
  <si>
    <t>EM-IE14×3以下</t>
    <rPh sb="9" eb="11">
      <t>イカ</t>
    </rPh>
    <phoneticPr fontId="10"/>
  </si>
  <si>
    <t>EM-IE22×3以下</t>
    <rPh sb="9" eb="11">
      <t>イカ</t>
    </rPh>
    <phoneticPr fontId="10"/>
  </si>
  <si>
    <t>EM-IE38×3以下</t>
    <rPh sb="9" eb="11">
      <t>イカ</t>
    </rPh>
    <phoneticPr fontId="10"/>
  </si>
  <si>
    <t>EM-IE60×3以下</t>
    <rPh sb="9" eb="11">
      <t>イカ</t>
    </rPh>
    <phoneticPr fontId="10"/>
  </si>
  <si>
    <t>EM-IE100×3以下</t>
    <rPh sb="10" eb="12">
      <t>イカ</t>
    </rPh>
    <phoneticPr fontId="10"/>
  </si>
  <si>
    <t>EM-IE150×3以下</t>
    <rPh sb="10" eb="12">
      <t>イカ</t>
    </rPh>
    <phoneticPr fontId="10"/>
  </si>
  <si>
    <t>EM-IE200×3以下</t>
    <rPh sb="10" eb="12">
      <t>イカ</t>
    </rPh>
    <phoneticPr fontId="10"/>
  </si>
  <si>
    <t>EM-IE250×3以下</t>
    <rPh sb="10" eb="12">
      <t>イカ</t>
    </rPh>
    <phoneticPr fontId="10"/>
  </si>
  <si>
    <t>EM-IE325×3以下</t>
    <rPh sb="10" eb="12">
      <t>イカ</t>
    </rPh>
    <phoneticPr fontId="10"/>
  </si>
  <si>
    <t>EM-IE1.6×4</t>
    <phoneticPr fontId="10"/>
  </si>
  <si>
    <t>EM-IE2.0×4</t>
    <phoneticPr fontId="10"/>
  </si>
  <si>
    <t>EM-IE5.5×4</t>
    <phoneticPr fontId="10"/>
  </si>
  <si>
    <t>EM-IE8×4</t>
    <phoneticPr fontId="10"/>
  </si>
  <si>
    <t>EM-IE14×4</t>
    <phoneticPr fontId="10"/>
  </si>
  <si>
    <t>EM-IE22×4</t>
    <phoneticPr fontId="10"/>
  </si>
  <si>
    <t>EM-IE38×4</t>
    <phoneticPr fontId="10"/>
  </si>
  <si>
    <t>EM-IE60×4</t>
    <phoneticPr fontId="10"/>
  </si>
  <si>
    <t>EM-IE100×4</t>
    <phoneticPr fontId="10"/>
  </si>
  <si>
    <t>EM-IE150×4</t>
    <phoneticPr fontId="10"/>
  </si>
  <si>
    <t>EM-IE200×4</t>
    <phoneticPr fontId="10"/>
  </si>
  <si>
    <t>EM-IE250×4</t>
    <phoneticPr fontId="10"/>
  </si>
  <si>
    <t>EM-IE325×4</t>
    <phoneticPr fontId="10"/>
  </si>
  <si>
    <t>EM-IE1.6×5～6</t>
  </si>
  <si>
    <t>EM-IE2.0×5～6</t>
  </si>
  <si>
    <t>EM-IE5.5×5～6</t>
  </si>
  <si>
    <t>EM-IE8×5～6</t>
  </si>
  <si>
    <t>EM-IE22×5～6</t>
  </si>
  <si>
    <t>EM-IE38×5～6</t>
  </si>
  <si>
    <t>EM-IE60×5～6</t>
  </si>
  <si>
    <t>EM-IE100×5～6</t>
  </si>
  <si>
    <t>EM-IE150×5～6</t>
  </si>
  <si>
    <t>EM-IE200×5～6</t>
  </si>
  <si>
    <t>EM-IE250×5～6</t>
  </si>
  <si>
    <t>EM-IE325×5～6</t>
  </si>
  <si>
    <t>EM-IE14×5～6</t>
  </si>
  <si>
    <t>EM-IE1.6×7～15</t>
  </si>
  <si>
    <t>EM-IE2.0×7～15</t>
  </si>
  <si>
    <t>EM-IE5.5×7～15</t>
  </si>
  <si>
    <t>EM-IE8×7～15</t>
  </si>
  <si>
    <t>EM-IE14×7～15</t>
  </si>
  <si>
    <t>EM-IE22×7～15</t>
  </si>
  <si>
    <t>EM-IE38×7～15</t>
  </si>
  <si>
    <t>EM-IE60×7～15</t>
  </si>
  <si>
    <t>EM-IE100×7～15</t>
  </si>
  <si>
    <t>EM-IE150×7～15</t>
  </si>
  <si>
    <t>EM-IE200×7～15</t>
  </si>
  <si>
    <t>EM-IE250×7～15</t>
  </si>
  <si>
    <t>EM-IE325×7～15</t>
  </si>
  <si>
    <t>EM-IE1.6×16以上</t>
  </si>
  <si>
    <t>EM-IE2.0×16以上</t>
  </si>
  <si>
    <t>EM-IE5.5×16以上</t>
  </si>
  <si>
    <t>EM-IE8×16以上</t>
  </si>
  <si>
    <t>EM-IE14×16以上</t>
  </si>
  <si>
    <t>EM-IE22×16以上</t>
  </si>
  <si>
    <t>EM-IE38×16以上</t>
  </si>
  <si>
    <t>EM-IE60×16以上</t>
  </si>
  <si>
    <t>EM-IE100×16以上</t>
  </si>
  <si>
    <t>EM-IE150×16以上</t>
  </si>
  <si>
    <t>EM-IE200×16以上</t>
  </si>
  <si>
    <t>EM-IE250×16以上</t>
  </si>
  <si>
    <t>EM-IE325×16以上</t>
  </si>
  <si>
    <t>インピーダンス</t>
    <phoneticPr fontId="21"/>
  </si>
  <si>
    <t>電線の許容電流　表2-4,2-5(a),(b),(c),2-7(a),(b),(c),2-11(a),(b),(c),(d),(e),(f),(g)</t>
    <rPh sb="0" eb="2">
      <t>デンセン</t>
    </rPh>
    <rPh sb="3" eb="7">
      <t>キョヨウデンリュウ</t>
    </rPh>
    <rPh sb="8" eb="9">
      <t>ヒョウ</t>
    </rPh>
    <phoneticPr fontId="21"/>
  </si>
  <si>
    <t>周囲温度(℃)</t>
    <rPh sb="0" eb="4">
      <t>シュウイオンド</t>
    </rPh>
    <phoneticPr fontId="21"/>
  </si>
  <si>
    <t>リアクタンス</t>
    <phoneticPr fontId="21"/>
  </si>
  <si>
    <t>力率cosφ</t>
    <rPh sb="0" eb="2">
      <t>リキリツ</t>
    </rPh>
    <phoneticPr fontId="21"/>
  </si>
  <si>
    <t>EM-EEF1.6-2C</t>
  </si>
  <si>
    <t>EM-EEF1.6-3C</t>
  </si>
  <si>
    <t>EM-EEF2.0-2C</t>
  </si>
  <si>
    <t>EM-EEF2.0-3C</t>
  </si>
  <si>
    <t>EM-CE2-2C</t>
  </si>
  <si>
    <t>EM-CE3.5-2C</t>
  </si>
  <si>
    <t>EM-CE5.5-2C</t>
  </si>
  <si>
    <t>EM-CE8-2C</t>
  </si>
  <si>
    <t>EM-CE14-2C</t>
  </si>
  <si>
    <t>EM-CE22-2C</t>
  </si>
  <si>
    <t>EM-CE38-2C</t>
  </si>
  <si>
    <t>EM-CE60-2C</t>
  </si>
  <si>
    <t>EM-CE100-2C</t>
  </si>
  <si>
    <t>EM-CE150-2C</t>
  </si>
  <si>
    <t>EM-CE200-2C</t>
  </si>
  <si>
    <t>EM-CE250-2C</t>
  </si>
  <si>
    <t>EM-CE325-2C</t>
  </si>
  <si>
    <t>EM-CE2-3C</t>
  </si>
  <si>
    <t>EM-CE3.5-3C</t>
  </si>
  <si>
    <t>EM-CE5.5-3C</t>
  </si>
  <si>
    <t>EM-CE8-3C</t>
  </si>
  <si>
    <t>EM-CE14-3C</t>
  </si>
  <si>
    <t>EM-CE22-3C</t>
  </si>
  <si>
    <t>EM-CE38-3C</t>
  </si>
  <si>
    <t>EM-CE60-3C</t>
  </si>
  <si>
    <t>EM-CE100-3C</t>
  </si>
  <si>
    <t>EM-CE150-3C</t>
  </si>
  <si>
    <t>EM-CE200-3C</t>
  </si>
  <si>
    <t>EM-CE250-3C</t>
  </si>
  <si>
    <t>EM-CE325-3C</t>
  </si>
  <si>
    <t>EM-CED14</t>
    <phoneticPr fontId="21"/>
  </si>
  <si>
    <t>EM-CED22</t>
    <phoneticPr fontId="21"/>
  </si>
  <si>
    <t>EM-CED38</t>
    <phoneticPr fontId="21"/>
  </si>
  <si>
    <t>EM-CED60</t>
    <phoneticPr fontId="21"/>
  </si>
  <si>
    <t>EM-CED100</t>
    <phoneticPr fontId="21"/>
  </si>
  <si>
    <t>EM-CED150</t>
    <phoneticPr fontId="21"/>
  </si>
  <si>
    <t>EM-CED200</t>
    <phoneticPr fontId="21"/>
  </si>
  <si>
    <t>EM-CED250</t>
    <phoneticPr fontId="21"/>
  </si>
  <si>
    <t>EM-CED325</t>
    <phoneticPr fontId="21"/>
  </si>
  <si>
    <t>EM-CET14</t>
  </si>
  <si>
    <t>EM-CET22</t>
  </si>
  <si>
    <t>EM-CET38</t>
  </si>
  <si>
    <t>EM-CET60</t>
  </si>
  <si>
    <t>EM-CET100</t>
  </si>
  <si>
    <t>EM-CET150</t>
  </si>
  <si>
    <t>EM-CET200</t>
  </si>
  <si>
    <t>EM-CET250</t>
  </si>
  <si>
    <t>EM-CET325</t>
  </si>
  <si>
    <t>EM-FP-C5.5-2C</t>
  </si>
  <si>
    <t>EM-FP-C8-2C</t>
  </si>
  <si>
    <t>EM-FP-C14-2C</t>
  </si>
  <si>
    <t>EM-FP-C22-2C</t>
  </si>
  <si>
    <t>EM-FP-C38-2C</t>
  </si>
  <si>
    <t>EM-FP-C60-2C</t>
  </si>
  <si>
    <t>EM-FP-C100-2C</t>
  </si>
  <si>
    <t>EM-FP-C150-2C</t>
  </si>
  <si>
    <t>EM-FP-C200-2C</t>
  </si>
  <si>
    <t>EM-FP-C250-2C</t>
  </si>
  <si>
    <t>EM-FP-C325-2C</t>
  </si>
  <si>
    <t>EM-FP-C5.5-3C</t>
  </si>
  <si>
    <t>EM-FP-C8-3C</t>
  </si>
  <si>
    <t>EM-FP-C14-3C</t>
  </si>
  <si>
    <t>EM-FP-C22-3C</t>
  </si>
  <si>
    <t>EM-FP-C38-3C</t>
  </si>
  <si>
    <t>EM-FP-C60-3C</t>
  </si>
  <si>
    <t>EM-FP-C100-3C</t>
  </si>
  <si>
    <t>EM-FP-C150-3C</t>
  </si>
  <si>
    <t>EM-FP-C200-3C</t>
  </si>
  <si>
    <t>EM-FP-C250-3C</t>
  </si>
  <si>
    <t>EM-FP-C325-3C</t>
  </si>
  <si>
    <t>EM-FP-C2-2C</t>
    <phoneticPr fontId="21"/>
  </si>
  <si>
    <t>EM-FP-C3.5-2C</t>
    <phoneticPr fontId="21"/>
  </si>
  <si>
    <t>EM-FP-C2-3C</t>
    <phoneticPr fontId="21"/>
  </si>
  <si>
    <t>EM-FP-C3.5-3C</t>
    <phoneticPr fontId="21"/>
  </si>
  <si>
    <t>EM-FPT14</t>
  </si>
  <si>
    <t>EM-FPT22</t>
  </si>
  <si>
    <t>EM-FPT38</t>
  </si>
  <si>
    <t>EM-FPT60</t>
  </si>
  <si>
    <t>EM-FPT100</t>
  </si>
  <si>
    <t>EM-FPT150</t>
  </si>
  <si>
    <t>EM-FPT200</t>
  </si>
  <si>
    <t>EM-FPT250</t>
  </si>
  <si>
    <t>EM-FPT325</t>
  </si>
  <si>
    <t>R</t>
  </si>
  <si>
    <t>X</t>
    <phoneticPr fontId="21"/>
  </si>
  <si>
    <t>電気方式</t>
    <rPh sb="0" eb="2">
      <t>デンキ</t>
    </rPh>
    <rPh sb="2" eb="4">
      <t>ホウシキ</t>
    </rPh>
    <phoneticPr fontId="10"/>
  </si>
  <si>
    <t>単相2線</t>
    <rPh sb="0" eb="1">
      <t>タン</t>
    </rPh>
    <rPh sb="1" eb="2">
      <t>ソウ</t>
    </rPh>
    <rPh sb="3" eb="4">
      <t>セン</t>
    </rPh>
    <phoneticPr fontId="10"/>
  </si>
  <si>
    <t>単相3線</t>
    <rPh sb="0" eb="1">
      <t>タン</t>
    </rPh>
    <rPh sb="1" eb="2">
      <t>ソウ</t>
    </rPh>
    <rPh sb="3" eb="4">
      <t>セン</t>
    </rPh>
    <phoneticPr fontId="10"/>
  </si>
  <si>
    <t>三相3線</t>
    <rPh sb="0" eb="2">
      <t>サンソウ</t>
    </rPh>
    <rPh sb="3" eb="4">
      <t>セン</t>
    </rPh>
    <phoneticPr fontId="10"/>
  </si>
  <si>
    <t>三相4線</t>
    <rPh sb="0" eb="2">
      <t>サンソウ</t>
    </rPh>
    <rPh sb="3" eb="4">
      <t>セン</t>
    </rPh>
    <phoneticPr fontId="10"/>
  </si>
  <si>
    <t>電圧(計算用)</t>
    <rPh sb="0" eb="2">
      <t>デンアツ</t>
    </rPh>
    <rPh sb="3" eb="6">
      <t>ケイサンヨウ</t>
    </rPh>
    <phoneticPr fontId="21"/>
  </si>
  <si>
    <t>100/200</t>
    <phoneticPr fontId="21"/>
  </si>
  <si>
    <t>電圧(V)</t>
    <rPh sb="0" eb="2">
      <t>デンアツ</t>
    </rPh>
    <phoneticPr fontId="10"/>
  </si>
  <si>
    <t>230/400</t>
    <phoneticPr fontId="21"/>
  </si>
  <si>
    <t>電圧　電灯設備　表1-1、動力設備　表1-1</t>
    <rPh sb="0" eb="2">
      <t>デンアツ</t>
    </rPh>
    <rPh sb="3" eb="5">
      <t>デントウ</t>
    </rPh>
    <rPh sb="5" eb="7">
      <t>セツビ</t>
    </rPh>
    <rPh sb="8" eb="9">
      <t>ヒョウ</t>
    </rPh>
    <rPh sb="13" eb="17">
      <t>ドウリョクセツビ</t>
    </rPh>
    <rPh sb="18" eb="19">
      <t>ヒョウ</t>
    </rPh>
    <phoneticPr fontId="21"/>
  </si>
  <si>
    <t>主幹器具　電灯設備　表6-3、動力設備　表2-1</t>
    <rPh sb="0" eb="4">
      <t>シュカンキグ</t>
    </rPh>
    <rPh sb="5" eb="9">
      <t>デントウセツビ</t>
    </rPh>
    <rPh sb="10" eb="11">
      <t>ヒョウ</t>
    </rPh>
    <rPh sb="15" eb="19">
      <t>ドウリョクセツビ</t>
    </rPh>
    <rPh sb="20" eb="21">
      <t>ヒョウ</t>
    </rPh>
    <phoneticPr fontId="21"/>
  </si>
  <si>
    <t>配線用遮断器</t>
    <rPh sb="0" eb="3">
      <t>ハイセンヨウ</t>
    </rPh>
    <rPh sb="3" eb="6">
      <t>シャダンキ</t>
    </rPh>
    <phoneticPr fontId="21"/>
  </si>
  <si>
    <t>端子</t>
    <rPh sb="0" eb="2">
      <t>タンシ</t>
    </rPh>
    <phoneticPr fontId="21"/>
  </si>
  <si>
    <t>(AT値)</t>
    <rPh sb="3" eb="4">
      <t>チ</t>
    </rPh>
    <phoneticPr fontId="21"/>
  </si>
  <si>
    <t>ｹｰﾌﾞﾙﾗｯｸ配線</t>
    <rPh sb="8" eb="10">
      <t>ハイセン</t>
    </rPh>
    <phoneticPr fontId="21"/>
  </si>
  <si>
    <t>保護管配線</t>
    <rPh sb="0" eb="3">
      <t>ホゴカン</t>
    </rPh>
    <rPh sb="3" eb="5">
      <t>ハイセン</t>
    </rPh>
    <phoneticPr fontId="21"/>
  </si>
  <si>
    <t>接地線サイズ　接地　表3-5</t>
    <rPh sb="0" eb="3">
      <t>セッチセン</t>
    </rPh>
    <rPh sb="7" eb="9">
      <t>セッチ</t>
    </rPh>
    <rPh sb="10" eb="11">
      <t>ヒョウ</t>
    </rPh>
    <phoneticPr fontId="21"/>
  </si>
  <si>
    <t>接地線</t>
    <rPh sb="0" eb="3">
      <t>セッチセン</t>
    </rPh>
    <phoneticPr fontId="21"/>
  </si>
  <si>
    <t>(mmまたはmm2)</t>
    <phoneticPr fontId="21"/>
  </si>
  <si>
    <t>許容電圧降下　表2-8</t>
    <rPh sb="0" eb="6">
      <t>キョヨウデンアツコウカ</t>
    </rPh>
    <rPh sb="7" eb="8">
      <t>ヒョウ</t>
    </rPh>
    <phoneticPr fontId="21"/>
  </si>
  <si>
    <t>亘長</t>
    <rPh sb="0" eb="2">
      <t>コウチョウ</t>
    </rPh>
    <phoneticPr fontId="21"/>
  </si>
  <si>
    <t>割合(%)</t>
    <rPh sb="0" eb="2">
      <t>ワリアイ</t>
    </rPh>
    <phoneticPr fontId="21"/>
  </si>
  <si>
    <t>亘長(m)以下</t>
    <rPh sb="0" eb="2">
      <t>コウチョウ</t>
    </rPh>
    <rPh sb="5" eb="7">
      <t>イカ</t>
    </rPh>
    <phoneticPr fontId="21"/>
  </si>
  <si>
    <t>供給方式</t>
    <rPh sb="0" eb="4">
      <t>キョウキュウホウシキ</t>
    </rPh>
    <phoneticPr fontId="21"/>
  </si>
  <si>
    <t>係数(幹線)</t>
    <rPh sb="0" eb="2">
      <t>ケイスウ</t>
    </rPh>
    <rPh sb="3" eb="5">
      <t>カンセン</t>
    </rPh>
    <phoneticPr fontId="21"/>
  </si>
  <si>
    <t>係数(分岐)</t>
    <rPh sb="0" eb="2">
      <t>ケイスウ</t>
    </rPh>
    <rPh sb="3" eb="5">
      <t>ブンキ</t>
    </rPh>
    <phoneticPr fontId="21"/>
  </si>
  <si>
    <t>電気方式　表2-10、表2-12</t>
    <rPh sb="0" eb="4">
      <t>デンキホウシキ</t>
    </rPh>
    <rPh sb="5" eb="6">
      <t>ヒョウ</t>
    </rPh>
    <rPh sb="11" eb="12">
      <t>ヒョウ</t>
    </rPh>
    <phoneticPr fontId="21"/>
  </si>
  <si>
    <t>ケーブルラック配線の許容電流の低減率　表2-6</t>
    <rPh sb="7" eb="9">
      <t>ハイセン</t>
    </rPh>
    <rPh sb="10" eb="14">
      <t>キョヨウデンリュウ</t>
    </rPh>
    <rPh sb="15" eb="17">
      <t>テイゲン</t>
    </rPh>
    <rPh sb="17" eb="18">
      <t>リツ</t>
    </rPh>
    <rPh sb="19" eb="20">
      <t>ヒョウ</t>
    </rPh>
    <phoneticPr fontId="21"/>
  </si>
  <si>
    <t>S=D</t>
    <phoneticPr fontId="21"/>
  </si>
  <si>
    <t>S=2D</t>
    <phoneticPr fontId="21"/>
  </si>
  <si>
    <t>S=3D</t>
    <phoneticPr fontId="21"/>
  </si>
  <si>
    <t>段m</t>
    <rPh sb="0" eb="1">
      <t>ダン</t>
    </rPh>
    <phoneticPr fontId="21"/>
  </si>
  <si>
    <t>列n</t>
    <rPh sb="0" eb="1">
      <t>レツ</t>
    </rPh>
    <phoneticPr fontId="21"/>
  </si>
  <si>
    <t>-</t>
    <phoneticPr fontId="21"/>
  </si>
  <si>
    <t>幹線分岐時の配線用遮断器の施設基準　内線規程1360-10</t>
    <rPh sb="0" eb="5">
      <t>カンセンブンキジ</t>
    </rPh>
    <rPh sb="6" eb="12">
      <t>ハイセンヨウシャダンキ</t>
    </rPh>
    <rPh sb="13" eb="15">
      <t>シセツ</t>
    </rPh>
    <rPh sb="15" eb="17">
      <t>キジュン</t>
    </rPh>
    <rPh sb="18" eb="22">
      <t>ナイセンキテイ</t>
    </rPh>
    <phoneticPr fontId="21"/>
  </si>
  <si>
    <t>幹線亘長</t>
    <rPh sb="0" eb="2">
      <t>カンセン</t>
    </rPh>
    <rPh sb="2" eb="4">
      <t>コウチョウ</t>
    </rPh>
    <phoneticPr fontId="21"/>
  </si>
  <si>
    <t>L≦3m</t>
    <phoneticPr fontId="21"/>
  </si>
  <si>
    <t>最低割合</t>
    <rPh sb="0" eb="2">
      <t>サイテイ</t>
    </rPh>
    <rPh sb="2" eb="4">
      <t>ワリアイ</t>
    </rPh>
    <phoneticPr fontId="21"/>
  </si>
  <si>
    <t>許容電流割合</t>
    <rPh sb="0" eb="2">
      <t>キョヨウ</t>
    </rPh>
    <rPh sb="2" eb="4">
      <t>デンリュウ</t>
    </rPh>
    <rPh sb="4" eb="6">
      <t>ワリアイ</t>
    </rPh>
    <phoneticPr fontId="21"/>
  </si>
  <si>
    <t>選定</t>
    <rPh sb="0" eb="2">
      <t>センテイ</t>
    </rPh>
    <phoneticPr fontId="21"/>
  </si>
  <si>
    <t>最終選定</t>
    <rPh sb="0" eb="4">
      <t>サイシュウセンテイ</t>
    </rPh>
    <phoneticPr fontId="21"/>
  </si>
  <si>
    <t>インピーダンス選定</t>
    <rPh sb="7" eb="9">
      <t>センテイ</t>
    </rPh>
    <phoneticPr fontId="21"/>
  </si>
  <si>
    <t>周波数</t>
    <rPh sb="0" eb="3">
      <t>シュウハスウ</t>
    </rPh>
    <phoneticPr fontId="21"/>
  </si>
  <si>
    <t>配線方法</t>
    <rPh sb="0" eb="4">
      <t>ハイセンホウホウ</t>
    </rPh>
    <phoneticPr fontId="21"/>
  </si>
  <si>
    <t>保護管配線の周囲温度</t>
    <rPh sb="0" eb="5">
      <t>ホゴカンハイセン</t>
    </rPh>
    <rPh sb="6" eb="10">
      <t>シュウイオンド</t>
    </rPh>
    <phoneticPr fontId="10"/>
  </si>
  <si>
    <t>周囲温度</t>
    <rPh sb="0" eb="4">
      <t>シュウイオンド</t>
    </rPh>
    <phoneticPr fontId="21"/>
  </si>
  <si>
    <t>許容電流選定</t>
    <rPh sb="0" eb="4">
      <t>キョヨウデンリュウ</t>
    </rPh>
    <rPh sb="4" eb="6">
      <t>センテイ</t>
    </rPh>
    <phoneticPr fontId="21"/>
  </si>
  <si>
    <t>電線の選定</t>
    <rPh sb="0" eb="2">
      <t>デンセン</t>
    </rPh>
    <rPh sb="3" eb="5">
      <t>センテイ</t>
    </rPh>
    <phoneticPr fontId="21"/>
  </si>
  <si>
    <t>低圧受電</t>
    <rPh sb="0" eb="2">
      <t>テイアツ</t>
    </rPh>
    <rPh sb="2" eb="4">
      <t>ジュデン</t>
    </rPh>
    <phoneticPr fontId="21"/>
  </si>
  <si>
    <t>高圧受電</t>
    <rPh sb="0" eb="2">
      <t>コウアツ</t>
    </rPh>
    <rPh sb="2" eb="4">
      <t>ジュデン</t>
    </rPh>
    <phoneticPr fontId="21"/>
  </si>
  <si>
    <t>受電の方式</t>
    <rPh sb="0" eb="2">
      <t>ジュデン</t>
    </rPh>
    <rPh sb="3" eb="5">
      <t>ホウシキ</t>
    </rPh>
    <phoneticPr fontId="10"/>
  </si>
  <si>
    <t>受電方式</t>
    <rPh sb="0" eb="4">
      <t>ジュデンホウシキ</t>
    </rPh>
    <phoneticPr fontId="21"/>
  </si>
  <si>
    <t>低圧受電</t>
    <rPh sb="0" eb="4">
      <t>テイアツジュデン</t>
    </rPh>
    <phoneticPr fontId="21"/>
  </si>
  <si>
    <t>高圧受電</t>
    <rPh sb="0" eb="4">
      <t>コウアツジュデン</t>
    </rPh>
    <phoneticPr fontId="21"/>
  </si>
  <si>
    <t>電圧降下の選定</t>
    <rPh sb="0" eb="4">
      <t>デンアツコウカ</t>
    </rPh>
    <rPh sb="5" eb="7">
      <t>センテイ</t>
    </rPh>
    <phoneticPr fontId="21"/>
  </si>
  <si>
    <t>幹線番号</t>
    <rPh sb="0" eb="4">
      <t>カンセンバンゴウ</t>
    </rPh>
    <phoneticPr fontId="21"/>
  </si>
  <si>
    <t>最終選定</t>
    <rPh sb="0" eb="2">
      <t>サイシュウ</t>
    </rPh>
    <rPh sb="2" eb="4">
      <t>センテイ</t>
    </rPh>
    <phoneticPr fontId="21"/>
  </si>
  <si>
    <t>電圧降下</t>
    <rPh sb="0" eb="4">
      <t>デンアツコウカ</t>
    </rPh>
    <phoneticPr fontId="21"/>
  </si>
  <si>
    <t>電圧(V)</t>
    <rPh sb="0" eb="2">
      <t>デンアツ</t>
    </rPh>
    <phoneticPr fontId="21"/>
  </si>
  <si>
    <t>幹線番号</t>
  </si>
  <si>
    <t>L＞8m 55%</t>
    <phoneticPr fontId="21"/>
  </si>
  <si>
    <t>L≦8m 35%</t>
    <phoneticPr fontId="21"/>
  </si>
  <si>
    <t>x段y列</t>
    <rPh sb="1" eb="2">
      <t>ダン</t>
    </rPh>
    <rPh sb="3" eb="4">
      <t>レツ</t>
    </rPh>
    <phoneticPr fontId="21"/>
  </si>
  <si>
    <t>7～</t>
    <phoneticPr fontId="21"/>
  </si>
  <si>
    <t>8～</t>
    <phoneticPr fontId="21"/>
  </si>
  <si>
    <t>20～</t>
    <phoneticPr fontId="21"/>
  </si>
  <si>
    <t>ラック段数</t>
    <rPh sb="3" eb="5">
      <t>ダンスウ</t>
    </rPh>
    <phoneticPr fontId="21"/>
  </si>
  <si>
    <t>ラック配線離隔</t>
    <rPh sb="3" eb="5">
      <t>ハイセン</t>
    </rPh>
    <rPh sb="5" eb="7">
      <t>リカク</t>
    </rPh>
    <phoneticPr fontId="21"/>
  </si>
  <si>
    <t>低減率</t>
    <rPh sb="0" eb="2">
      <t>テイゲン</t>
    </rPh>
    <rPh sb="2" eb="3">
      <t>リツ</t>
    </rPh>
    <phoneticPr fontId="21"/>
  </si>
  <si>
    <t>ケーブルラック配線の許容電流の低減率の選定</t>
    <rPh sb="19" eb="21">
      <t>センテイ</t>
    </rPh>
    <phoneticPr fontId="21"/>
  </si>
  <si>
    <t>接地線の
導体太さ</t>
    <rPh sb="0" eb="3">
      <t>セッチセン</t>
    </rPh>
    <rPh sb="5" eb="8">
      <t>ドウタイフト</t>
    </rPh>
    <phoneticPr fontId="10"/>
  </si>
  <si>
    <t>EM-CE2-4C*</t>
    <phoneticPr fontId="21"/>
  </si>
  <si>
    <t>EM-CE3.5-4C*</t>
    <phoneticPr fontId="21"/>
  </si>
  <si>
    <t>EM-CE5.5-4C*</t>
    <phoneticPr fontId="21"/>
  </si>
  <si>
    <t>EM-CE8-4C*</t>
    <phoneticPr fontId="21"/>
  </si>
  <si>
    <t>EM-CE14-4C*</t>
    <phoneticPr fontId="21"/>
  </si>
  <si>
    <t>EM-CE22-4C*</t>
    <phoneticPr fontId="21"/>
  </si>
  <si>
    <t>EM-CE38-4C*</t>
    <phoneticPr fontId="21"/>
  </si>
  <si>
    <t>EM-CE60-4C*</t>
    <phoneticPr fontId="21"/>
  </si>
  <si>
    <t>EM-CE100-4C*</t>
    <phoneticPr fontId="21"/>
  </si>
  <si>
    <t>EM-CE150-4C*</t>
    <phoneticPr fontId="21"/>
  </si>
  <si>
    <t>EM-CE002-4C*</t>
    <phoneticPr fontId="21"/>
  </si>
  <si>
    <t>EM-CE502-4C*</t>
    <phoneticPr fontId="21"/>
  </si>
  <si>
    <t>EM-CE325-4C*</t>
    <phoneticPr fontId="21"/>
  </si>
  <si>
    <t>電線の種別及び導体太さの欄において電線の末尾に「*」の記載が有るものは、中性線、接地線及び制御回路を考慮して許容電流を補正している。</t>
    <rPh sb="0" eb="2">
      <t>デンセン</t>
    </rPh>
    <rPh sb="3" eb="5">
      <t>シュベツ</t>
    </rPh>
    <rPh sb="5" eb="6">
      <t>オヨ</t>
    </rPh>
    <rPh sb="7" eb="10">
      <t>ドウタイフト</t>
    </rPh>
    <rPh sb="12" eb="13">
      <t>ラン</t>
    </rPh>
    <rPh sb="17" eb="19">
      <t>デンセン</t>
    </rPh>
    <rPh sb="20" eb="22">
      <t>マツビ</t>
    </rPh>
    <rPh sb="27" eb="29">
      <t>キサイ</t>
    </rPh>
    <rPh sb="30" eb="31">
      <t>ア</t>
    </rPh>
    <rPh sb="50" eb="52">
      <t>コウリョ</t>
    </rPh>
    <rPh sb="54" eb="58">
      <t>キョヨウデンリュウ</t>
    </rPh>
    <rPh sb="59" eb="61">
      <t>ホセイ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</si>
</sst>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&quot; &quot;@"/>
    <numFmt numFmtId="177" formatCode="&quot;¥&quot;#,##0.0;[Red]&quot;¥&quot;\-#,##0.0"/>
    <numFmt numFmtId="178" formatCode="0.000"/>
    <numFmt numFmtId="179" formatCode="0.00_ "/>
    <numFmt numFmtId="180" formatCode="0.00_);[Red]\(0.00\)"/>
    <numFmt numFmtId="181" formatCode="0.0_);[Red]\(0.0\)"/>
    <numFmt numFmtId="182" formatCode="0_);[Red]\(0\)"/>
    <numFmt numFmtId="183" formatCode="#,##0_ "/>
    <numFmt numFmtId="184" formatCode="#,##0.000_ "/>
    <numFmt numFmtId="185" formatCode="#,##0.00_ "/>
    <numFmt numFmtId="186" formatCode="#,##0.0000_);[Red]\(#,##0.0000\)"/>
    <numFmt numFmtId="187" formatCode="#,##0.0_);[Red]\(#,##0.0\)"/>
    <numFmt numFmtId="188" formatCode="0_ "/>
    <numFmt numFmtId="189" formatCode="#,##0.0_ "/>
    <numFmt numFmtId="190" formatCode="#,##0.000_);[Red]\(#,##0.000\)"/>
    <numFmt numFmtId="191" formatCode="#,##0.00_);[Red]\(#,##0.00\)"/>
  </numFmts>
  <fonts count="25">
    <font>
      <sz val="11"/>
      <name val="ＭＳ Ｐゴシック"/>
      <family val="3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</font>
    <font>
      <sz val="10"/>
      <name val="Arial"/>
      <family val="2"/>
    </font>
    <font>
      <sz val="14"/>
      <name val="ＭＳ 明朝"/>
      <family val="1"/>
    </font>
    <font>
      <sz val="9.5"/>
      <name val="ｺﾞｼｯｸ"/>
      <family val="3"/>
    </font>
    <font>
      <sz val="9"/>
      <name val="ＭＳ 明朝"/>
      <family val="1"/>
    </font>
    <font>
      <sz val="8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b/>
      <sz val="9"/>
      <name val="ＭＳ ゴシック"/>
      <family val="3"/>
    </font>
    <font>
      <b/>
      <sz val="14"/>
      <name val="ＭＳ ゴシック"/>
      <family val="3"/>
    </font>
    <font>
      <b/>
      <sz val="9"/>
      <name val="ＭＳ 明朝"/>
      <family val="1"/>
    </font>
    <font>
      <u/>
      <sz val="11"/>
      <name val="ＭＳ 明朝"/>
      <family val="1"/>
    </font>
    <font>
      <sz val="9"/>
      <name val="ＭＳ 明朝"/>
      <family val="1"/>
      <charset val="128"/>
    </font>
    <font>
      <sz val="9"/>
      <name val="ＭＳ Ｐゴシック"/>
      <family val="3"/>
    </font>
    <font>
      <sz val="7"/>
      <name val="ＭＳ 明朝"/>
      <family val="1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2" borderId="0" applyNumberFormat="0" applyBorder="0" applyAlignment="0" applyProtection="0">
      <alignment vertical="center"/>
    </xf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10" fontId="1" fillId="3" borderId="3" applyNumberFormat="0" applyBorder="0" applyAlignment="0" applyProtection="0">
      <alignment vertical="center"/>
    </xf>
    <xf numFmtId="177" fontId="3" fillId="0" borderId="0"/>
    <xf numFmtId="10" fontId="4" fillId="0" borderId="0" applyFont="0" applyFill="0" applyBorder="0" applyAlignment="0" applyProtection="0">
      <alignment vertical="center"/>
    </xf>
    <xf numFmtId="0" fontId="5" fillId="0" borderId="0"/>
    <xf numFmtId="0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4" applyNumberFormat="0" applyFill="0" applyBorder="0" applyAlignment="0" applyProtection="0">
      <alignment horizontal="distributed" vertical="center"/>
    </xf>
    <xf numFmtId="176" fontId="3" fillId="0" borderId="5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right"/>
    </xf>
    <xf numFmtId="0" fontId="6" fillId="0" borderId="0" applyNumberFormat="0" applyFill="0" applyBorder="0" applyAlignment="0">
      <alignment vertical="center"/>
    </xf>
    <xf numFmtId="178" fontId="3" fillId="0" borderId="6" applyBorder="0" applyProtection="0"/>
    <xf numFmtId="0" fontId="5" fillId="0" borderId="0"/>
    <xf numFmtId="0" fontId="6" fillId="0" borderId="0" applyNumberFormat="0" applyFill="0" applyBorder="0" applyAlignment="0" applyProtection="0">
      <alignment vertical="center"/>
    </xf>
    <xf numFmtId="176" fontId="3" fillId="0" borderId="5" applyNumberForma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7" fillId="0" borderId="0" xfId="0" applyFont="1">
      <alignment vertical="center"/>
    </xf>
    <xf numFmtId="181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7" fillId="0" borderId="0" xfId="15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7" fillId="0" borderId="15" xfId="0" applyFont="1" applyBorder="1">
      <alignment vertical="center"/>
    </xf>
    <xf numFmtId="182" fontId="11" fillId="0" borderId="14" xfId="15" applyNumberFormat="1" applyFont="1" applyBorder="1" applyAlignment="1">
      <alignment horizontal="left" vertical="center"/>
    </xf>
    <xf numFmtId="182" fontId="7" fillId="0" borderId="0" xfId="15" applyNumberFormat="1" applyFont="1" applyAlignment="1">
      <alignment horizontal="left" vertical="center"/>
    </xf>
    <xf numFmtId="0" fontId="14" fillId="0" borderId="15" xfId="0" quotePrefix="1" applyFont="1" applyBorder="1" applyAlignment="1">
      <alignment horizontal="left" vertical="center"/>
    </xf>
    <xf numFmtId="180" fontId="15" fillId="0" borderId="15" xfId="0" applyNumberFormat="1" applyFont="1" applyBorder="1" applyAlignment="1">
      <alignment horizontal="left" vertical="center"/>
    </xf>
    <xf numFmtId="0" fontId="14" fillId="0" borderId="2" xfId="15" applyFont="1" applyBorder="1" applyAlignment="1">
      <alignment vertical="center"/>
    </xf>
    <xf numFmtId="0" fontId="7" fillId="0" borderId="15" xfId="0" quotePrefix="1" applyFont="1" applyBorder="1" applyAlignment="1">
      <alignment horizontal="left" vertical="center"/>
    </xf>
    <xf numFmtId="0" fontId="7" fillId="0" borderId="2" xfId="15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181" fontId="11" fillId="0" borderId="0" xfId="0" applyNumberFormat="1" applyFont="1">
      <alignment vertical="center"/>
    </xf>
    <xf numFmtId="181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36" xfId="15" applyFont="1" applyBorder="1" applyAlignment="1">
      <alignment vertical="center"/>
    </xf>
    <xf numFmtId="0" fontId="7" fillId="0" borderId="8" xfId="15" applyFont="1" applyBorder="1" applyAlignment="1">
      <alignment horizontal="distributed" vertical="center" indent="1"/>
    </xf>
    <xf numFmtId="0" fontId="7" fillId="0" borderId="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81" fontId="7" fillId="0" borderId="17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3" fontId="0" fillId="5" borderId="3" xfId="0" applyNumberFormat="1" applyFill="1" applyBorder="1" applyAlignment="1">
      <alignment horizontal="center" vertical="center"/>
    </xf>
    <xf numFmtId="184" fontId="0" fillId="5" borderId="3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5" fontId="0" fillId="0" borderId="3" xfId="0" applyNumberFormat="1" applyBorder="1" applyAlignment="1">
      <alignment horizontal="center" vertical="center"/>
    </xf>
    <xf numFmtId="184" fontId="0" fillId="0" borderId="3" xfId="0" applyNumberFormat="1" applyBorder="1" applyAlignment="1">
      <alignment horizontal="center" vertical="center"/>
    </xf>
    <xf numFmtId="183" fontId="0" fillId="5" borderId="34" xfId="0" applyNumberFormat="1" applyFill="1" applyBorder="1" applyAlignment="1">
      <alignment horizontal="center" vertical="center"/>
    </xf>
    <xf numFmtId="184" fontId="0" fillId="5" borderId="18" xfId="0" applyNumberFormat="1" applyFill="1" applyBorder="1" applyAlignment="1">
      <alignment horizontal="center" vertical="center"/>
    </xf>
    <xf numFmtId="184" fontId="0" fillId="5" borderId="43" xfId="0" applyNumberFormat="1" applyFill="1" applyBorder="1" applyAlignment="1">
      <alignment horizontal="center" vertical="center"/>
    </xf>
    <xf numFmtId="184" fontId="0" fillId="5" borderId="44" xfId="0" applyNumberFormat="1" applyFill="1" applyBorder="1" applyAlignment="1">
      <alignment horizontal="center" vertical="center"/>
    </xf>
    <xf numFmtId="184" fontId="0" fillId="5" borderId="45" xfId="0" applyNumberFormat="1" applyFill="1" applyBorder="1" applyAlignment="1">
      <alignment horizontal="center" vertical="center"/>
    </xf>
    <xf numFmtId="184" fontId="0" fillId="5" borderId="47" xfId="0" applyNumberFormat="1" applyFill="1" applyBorder="1" applyAlignment="1">
      <alignment horizontal="center" vertical="center"/>
    </xf>
    <xf numFmtId="184" fontId="0" fillId="5" borderId="48" xfId="0" applyNumberFormat="1" applyFill="1" applyBorder="1" applyAlignment="1">
      <alignment horizontal="center" vertical="center"/>
    </xf>
    <xf numFmtId="185" fontId="0" fillId="0" borderId="18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186" fontId="0" fillId="5" borderId="3" xfId="0" applyNumberFormat="1" applyFill="1" applyBorder="1" applyAlignment="1">
      <alignment horizontal="center" vertical="center"/>
    </xf>
    <xf numFmtId="186" fontId="0" fillId="5" borderId="42" xfId="0" applyNumberFormat="1" applyFill="1" applyBorder="1" applyAlignment="1">
      <alignment horizontal="center" vertical="center"/>
    </xf>
    <xf numFmtId="186" fontId="0" fillId="5" borderId="43" xfId="0" applyNumberFormat="1" applyFill="1" applyBorder="1" applyAlignment="1">
      <alignment horizontal="center" vertical="center"/>
    </xf>
    <xf numFmtId="186" fontId="0" fillId="5" borderId="8" xfId="0" applyNumberFormat="1" applyFill="1" applyBorder="1" applyAlignment="1">
      <alignment horizontal="center" vertical="center"/>
    </xf>
    <xf numFmtId="186" fontId="0" fillId="5" borderId="46" xfId="0" applyNumberFormat="1" applyFill="1" applyBorder="1" applyAlignment="1">
      <alignment horizontal="center" vertical="center"/>
    </xf>
    <xf numFmtId="186" fontId="0" fillId="5" borderId="47" xfId="0" applyNumberFormat="1" applyFill="1" applyBorder="1" applyAlignment="1">
      <alignment horizontal="center" vertical="center"/>
    </xf>
    <xf numFmtId="186" fontId="0" fillId="5" borderId="18" xfId="0" applyNumberFormat="1" applyFill="1" applyBorder="1" applyAlignment="1">
      <alignment horizontal="center" vertical="center"/>
    </xf>
    <xf numFmtId="183" fontId="0" fillId="5" borderId="20" xfId="0" applyNumberFormat="1" applyFill="1" applyBorder="1" applyAlignment="1">
      <alignment horizontal="center" vertical="center"/>
    </xf>
    <xf numFmtId="183" fontId="0" fillId="5" borderId="2" xfId="0" applyNumberFormat="1" applyFill="1" applyBorder="1" applyAlignment="1">
      <alignment horizontal="center" vertical="center"/>
    </xf>
    <xf numFmtId="183" fontId="0" fillId="0" borderId="49" xfId="0" applyNumberFormat="1" applyBorder="1" applyAlignment="1">
      <alignment horizontal="center" vertical="center"/>
    </xf>
    <xf numFmtId="183" fontId="0" fillId="0" borderId="50" xfId="0" applyNumberFormat="1" applyBorder="1" applyAlignment="1">
      <alignment horizontal="center" vertical="center"/>
    </xf>
    <xf numFmtId="183" fontId="0" fillId="0" borderId="51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88" fontId="0" fillId="5" borderId="3" xfId="0" applyNumberFormat="1" applyFill="1" applyBorder="1" applyAlignment="1">
      <alignment horizontal="center" vertical="center"/>
    </xf>
    <xf numFmtId="182" fontId="0" fillId="5" borderId="3" xfId="0" applyNumberFormat="1" applyFill="1" applyBorder="1" applyAlignment="1">
      <alignment horizontal="center" vertical="center"/>
    </xf>
    <xf numFmtId="181" fontId="0" fillId="5" borderId="3" xfId="0" applyNumberFormat="1" applyFill="1" applyBorder="1" applyAlignment="1">
      <alignment horizontal="center" vertical="center"/>
    </xf>
    <xf numFmtId="185" fontId="0" fillId="5" borderId="3" xfId="0" applyNumberFormat="1" applyFill="1" applyBorder="1" applyAlignment="1">
      <alignment horizontal="center" vertical="center"/>
    </xf>
    <xf numFmtId="189" fontId="0" fillId="5" borderId="3" xfId="0" applyNumberForma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3" xfId="0" applyNumberFormat="1" applyBorder="1" applyAlignment="1">
      <alignment horizontal="center" vertical="center"/>
    </xf>
    <xf numFmtId="189" fontId="0" fillId="0" borderId="3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191" fontId="0" fillId="0" borderId="3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15" fillId="0" borderId="15" xfId="15" applyFont="1" applyBorder="1" applyAlignment="1">
      <alignment horizontal="right" vertical="center"/>
    </xf>
    <xf numFmtId="0" fontId="7" fillId="0" borderId="52" xfId="0" applyFont="1" applyBorder="1">
      <alignment vertical="center"/>
    </xf>
    <xf numFmtId="0" fontId="7" fillId="0" borderId="39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186" fontId="0" fillId="0" borderId="3" xfId="0" applyNumberFormat="1" applyBorder="1" applyAlignment="1">
      <alignment horizontal="center" vertical="center"/>
    </xf>
    <xf numFmtId="183" fontId="0" fillId="0" borderId="34" xfId="0" applyNumberFormat="1" applyBorder="1" applyAlignment="1">
      <alignment horizontal="center" vertical="center"/>
    </xf>
    <xf numFmtId="183" fontId="0" fillId="0" borderId="20" xfId="0" applyNumberFormat="1" applyBorder="1" applyAlignment="1">
      <alignment horizontal="center" vertical="center"/>
    </xf>
    <xf numFmtId="187" fontId="12" fillId="0" borderId="32" xfId="0" applyNumberFormat="1" applyFont="1" applyBorder="1" applyAlignment="1">
      <alignment horizontal="center" vertical="center" shrinkToFit="1"/>
    </xf>
    <xf numFmtId="187" fontId="12" fillId="0" borderId="23" xfId="0" applyNumberFormat="1" applyFont="1" applyBorder="1" applyAlignment="1">
      <alignment horizontal="center" vertical="center" shrinkToFit="1"/>
    </xf>
    <xf numFmtId="187" fontId="12" fillId="0" borderId="35" xfId="0" applyNumberFormat="1" applyFont="1" applyBorder="1" applyAlignment="1">
      <alignment horizontal="center" vertical="center" shrinkToFit="1"/>
    </xf>
    <xf numFmtId="189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189" fontId="12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2" fillId="5" borderId="11" xfId="0" applyFont="1" applyFill="1" applyBorder="1" applyAlignment="1" applyProtection="1">
      <alignment horizontal="center" vertical="center" shrinkToFit="1"/>
      <protection locked="0"/>
    </xf>
    <xf numFmtId="0" fontId="12" fillId="5" borderId="13" xfId="0" applyFont="1" applyFill="1" applyBorder="1" applyAlignment="1" applyProtection="1">
      <alignment horizontal="center" vertical="center" shrinkToFit="1"/>
      <protection locked="0"/>
    </xf>
    <xf numFmtId="0" fontId="12" fillId="5" borderId="16" xfId="0" applyFont="1" applyFill="1" applyBorder="1" applyAlignment="1" applyProtection="1">
      <alignment horizontal="center" vertical="center" shrinkToFit="1"/>
      <protection locked="0"/>
    </xf>
    <xf numFmtId="0" fontId="12" fillId="5" borderId="17" xfId="0" applyFont="1" applyFill="1" applyBorder="1" applyAlignment="1" applyProtection="1">
      <alignment horizontal="center" vertical="center" shrinkToFit="1"/>
      <protection locked="0"/>
    </xf>
    <xf numFmtId="0" fontId="12" fillId="5" borderId="19" xfId="0" applyFont="1" applyFill="1" applyBorder="1" applyAlignment="1" applyProtection="1">
      <alignment horizontal="center" vertical="center" shrinkToFit="1"/>
      <protection locked="0"/>
    </xf>
    <xf numFmtId="181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181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181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28" xfId="0" applyFont="1" applyFill="1" applyBorder="1" applyAlignment="1" applyProtection="1">
      <alignment horizontal="center" vertical="center" shrinkToFit="1"/>
      <protection locked="0"/>
    </xf>
    <xf numFmtId="0" fontId="12" fillId="5" borderId="29" xfId="0" applyFont="1" applyFill="1" applyBorder="1" applyAlignment="1" applyProtection="1">
      <alignment horizontal="center" vertical="center" shrinkToFit="1"/>
      <protection locked="0"/>
    </xf>
    <xf numFmtId="187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187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187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183" fontId="12" fillId="0" borderId="16" xfId="0" applyNumberFormat="1" applyFont="1" applyBorder="1" applyAlignment="1">
      <alignment horizontal="center" vertical="center" shrinkToFit="1"/>
    </xf>
    <xf numFmtId="183" fontId="12" fillId="0" borderId="17" xfId="0" applyNumberFormat="1" applyFont="1" applyBorder="1" applyAlignment="1">
      <alignment horizontal="center" vertical="center" shrinkToFit="1"/>
    </xf>
    <xf numFmtId="183" fontId="12" fillId="0" borderId="19" xfId="0" applyNumberFormat="1" applyFont="1" applyBorder="1" applyAlignment="1">
      <alignment horizontal="center" vertical="center" shrinkToFit="1"/>
    </xf>
    <xf numFmtId="187" fontId="12" fillId="0" borderId="16" xfId="0" applyNumberFormat="1" applyFont="1" applyBorder="1" applyAlignment="1">
      <alignment horizontal="center" vertical="center" shrinkToFit="1"/>
    </xf>
    <xf numFmtId="187" fontId="12" fillId="0" borderId="17" xfId="0" applyNumberFormat="1" applyFont="1" applyBorder="1" applyAlignment="1">
      <alignment horizontal="center" vertical="center" shrinkToFit="1"/>
    </xf>
    <xf numFmtId="187" fontId="12" fillId="0" borderId="19" xfId="0" applyNumberFormat="1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179" fontId="12" fillId="5" borderId="16" xfId="0" applyNumberFormat="1" applyFont="1" applyFill="1" applyBorder="1" applyAlignment="1" applyProtection="1">
      <alignment horizontal="center" vertical="center" shrinkToFit="1"/>
      <protection locked="0"/>
    </xf>
    <xf numFmtId="179" fontId="12" fillId="5" borderId="17" xfId="0" applyNumberFormat="1" applyFont="1" applyFill="1" applyBorder="1" applyAlignment="1" applyProtection="1">
      <alignment horizontal="center" vertical="center" shrinkToFit="1"/>
      <protection locked="0"/>
    </xf>
    <xf numFmtId="179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190" fontId="12" fillId="0" borderId="16" xfId="0" applyNumberFormat="1" applyFont="1" applyBorder="1" applyAlignment="1">
      <alignment horizontal="center" vertical="center" shrinkToFit="1"/>
    </xf>
    <xf numFmtId="190" fontId="12" fillId="0" borderId="17" xfId="0" applyNumberFormat="1" applyFont="1" applyBorder="1" applyAlignment="1">
      <alignment horizontal="center" vertical="center" shrinkToFit="1"/>
    </xf>
    <xf numFmtId="190" fontId="12" fillId="0" borderId="19" xfId="0" applyNumberFormat="1" applyFont="1" applyBorder="1" applyAlignment="1">
      <alignment horizontal="center" vertical="center" shrinkToFit="1"/>
    </xf>
    <xf numFmtId="179" fontId="12" fillId="6" borderId="16" xfId="0" applyNumberFormat="1" applyFont="1" applyFill="1" applyBorder="1" applyAlignment="1" applyProtection="1">
      <alignment horizontal="center" vertical="center" shrinkToFit="1"/>
      <protection locked="0"/>
    </xf>
    <xf numFmtId="179" fontId="12" fillId="6" borderId="17" xfId="0" applyNumberFormat="1" applyFont="1" applyFill="1" applyBorder="1" applyAlignment="1" applyProtection="1">
      <alignment horizontal="center" vertical="center" shrinkToFit="1"/>
      <protection locked="0"/>
    </xf>
    <xf numFmtId="179" fontId="12" fillId="6" borderId="19" xfId="0" applyNumberFormat="1" applyFont="1" applyFill="1" applyBorder="1" applyAlignment="1" applyProtection="1">
      <alignment horizontal="center" vertical="center" shrinkToFit="1"/>
      <protection locked="0"/>
    </xf>
    <xf numFmtId="187" fontId="12" fillId="0" borderId="24" xfId="0" applyNumberFormat="1" applyFont="1" applyBorder="1" applyAlignment="1">
      <alignment horizontal="center" vertical="center" shrinkToFit="1"/>
    </xf>
    <xf numFmtId="189" fontId="12" fillId="5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8" xfId="0" applyFont="1" applyFill="1" applyBorder="1" applyAlignment="1" applyProtection="1">
      <alignment horizontal="center" vertical="center" shrinkToFit="1"/>
      <protection locked="0"/>
    </xf>
    <xf numFmtId="183" fontId="12" fillId="0" borderId="18" xfId="0" applyNumberFormat="1" applyFont="1" applyBorder="1" applyAlignment="1">
      <alignment horizontal="center" vertical="center" shrinkToFit="1"/>
    </xf>
    <xf numFmtId="187" fontId="12" fillId="0" borderId="18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179" fontId="12" fillId="5" borderId="18" xfId="0" applyNumberFormat="1" applyFont="1" applyFill="1" applyBorder="1" applyAlignment="1" applyProtection="1">
      <alignment horizontal="center" vertical="center" shrinkToFit="1"/>
      <protection locked="0"/>
    </xf>
    <xf numFmtId="190" fontId="12" fillId="0" borderId="18" xfId="0" applyNumberFormat="1" applyFont="1" applyBorder="1" applyAlignment="1">
      <alignment horizontal="center" vertical="center" shrinkToFit="1"/>
    </xf>
    <xf numFmtId="179" fontId="12" fillId="6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5" borderId="12" xfId="0" applyFont="1" applyFill="1" applyBorder="1" applyAlignment="1" applyProtection="1">
      <alignment horizontal="center" vertical="center" shrinkToFit="1"/>
      <protection locked="0"/>
    </xf>
    <xf numFmtId="181" fontId="12" fillId="5" borderId="18" xfId="0" applyNumberFormat="1" applyFont="1" applyFill="1" applyBorder="1" applyAlignment="1" applyProtection="1">
      <alignment horizontal="center" vertical="center" shrinkToFit="1"/>
      <protection locked="0"/>
    </xf>
    <xf numFmtId="187" fontId="12" fillId="5" borderId="18" xfId="0" applyNumberFormat="1" applyFont="1" applyFill="1" applyBorder="1" applyAlignment="1" applyProtection="1">
      <alignment horizontal="center" vertical="center" shrinkToFit="1"/>
      <protection locked="0"/>
    </xf>
    <xf numFmtId="187" fontId="17" fillId="0" borderId="23" xfId="0" applyNumberFormat="1" applyFont="1" applyBorder="1" applyAlignment="1">
      <alignment horizontal="center" vertical="center" shrinkToFit="1"/>
    </xf>
    <xf numFmtId="187" fontId="17" fillId="0" borderId="35" xfId="0" applyNumberFormat="1" applyFont="1" applyBorder="1" applyAlignment="1">
      <alignment horizontal="center" vertical="center" shrinkToFit="1"/>
    </xf>
    <xf numFmtId="183" fontId="17" fillId="0" borderId="17" xfId="0" applyNumberFormat="1" applyFont="1" applyBorder="1" applyAlignment="1">
      <alignment horizontal="center" vertical="center" shrinkToFit="1"/>
    </xf>
    <xf numFmtId="183" fontId="17" fillId="0" borderId="18" xfId="0" applyNumberFormat="1" applyFont="1" applyBorder="1" applyAlignment="1">
      <alignment horizontal="center" vertical="center" shrinkToFit="1"/>
    </xf>
    <xf numFmtId="187" fontId="17" fillId="0" borderId="17" xfId="0" applyNumberFormat="1" applyFont="1" applyBorder="1" applyAlignment="1">
      <alignment horizontal="center" vertical="center" shrinkToFit="1"/>
    </xf>
    <xf numFmtId="187" fontId="17" fillId="0" borderId="18" xfId="0" applyNumberFormat="1" applyFont="1" applyBorder="1" applyAlignment="1">
      <alignment horizontal="center" vertical="center" shrinkToFit="1"/>
    </xf>
    <xf numFmtId="190" fontId="17" fillId="0" borderId="17" xfId="0" applyNumberFormat="1" applyFont="1" applyBorder="1" applyAlignment="1">
      <alignment horizontal="center" vertical="center" shrinkToFit="1"/>
    </xf>
    <xf numFmtId="190" fontId="17" fillId="0" borderId="18" xfId="0" applyNumberFormat="1" applyFont="1" applyBorder="1" applyAlignment="1">
      <alignment horizontal="center" vertical="center" shrinkToFit="1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 shrinkToFit="1"/>
      <protection locked="0"/>
    </xf>
    <xf numFmtId="0" fontId="17" fillId="5" borderId="18" xfId="0" applyFont="1" applyFill="1" applyBorder="1" applyAlignment="1" applyProtection="1">
      <alignment horizontal="center" vertical="center" shrinkToFit="1"/>
      <protection locked="0"/>
    </xf>
    <xf numFmtId="0" fontId="23" fillId="5" borderId="17" xfId="0" applyFont="1" applyFill="1" applyBorder="1" applyAlignment="1" applyProtection="1">
      <alignment horizontal="center" vertical="center" shrinkToFit="1"/>
      <protection locked="0"/>
    </xf>
    <xf numFmtId="0" fontId="23" fillId="5" borderId="18" xfId="0" applyFont="1" applyFill="1" applyBorder="1" applyAlignment="1" applyProtection="1">
      <alignment horizontal="center" vertical="center" shrinkToFit="1"/>
      <protection locked="0"/>
    </xf>
    <xf numFmtId="190" fontId="12" fillId="0" borderId="32" xfId="0" applyNumberFormat="1" applyFont="1" applyBorder="1" applyAlignment="1">
      <alignment horizontal="center" vertical="center" shrinkToFit="1"/>
    </xf>
    <xf numFmtId="190" fontId="12" fillId="0" borderId="23" xfId="0" applyNumberFormat="1" applyFont="1" applyBorder="1" applyAlignment="1">
      <alignment horizontal="center" vertical="center" shrinkToFit="1"/>
    </xf>
    <xf numFmtId="190" fontId="12" fillId="0" borderId="35" xfId="0" applyNumberFormat="1" applyFont="1" applyBorder="1" applyAlignment="1">
      <alignment horizontal="center" vertical="center" shrinkToFit="1"/>
    </xf>
    <xf numFmtId="0" fontId="7" fillId="0" borderId="34" xfId="15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23" fillId="5" borderId="34" xfId="15" applyFont="1" applyFill="1" applyBorder="1" applyAlignment="1" applyProtection="1">
      <alignment horizontal="center" vertical="center"/>
      <protection locked="0"/>
    </xf>
    <xf numFmtId="0" fontId="24" fillId="5" borderId="20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indent="1"/>
    </xf>
    <xf numFmtId="0" fontId="23" fillId="5" borderId="34" xfId="15" applyFont="1" applyFill="1" applyBorder="1" applyAlignment="1" applyProtection="1">
      <alignment horizontal="center" vertical="center" wrapText="1"/>
      <protection locked="0"/>
    </xf>
    <xf numFmtId="0" fontId="24" fillId="5" borderId="20" xfId="0" applyFont="1" applyFill="1" applyBorder="1" applyAlignment="1" applyProtection="1">
      <alignment horizontal="center" vertical="center" wrapText="1"/>
      <protection locked="0"/>
    </xf>
    <xf numFmtId="0" fontId="12" fillId="5" borderId="2" xfId="15" applyFont="1" applyFill="1" applyBorder="1" applyAlignment="1" applyProtection="1">
      <alignment horizontal="center" vertical="center" shrinkToFit="1"/>
      <protection locked="0"/>
    </xf>
    <xf numFmtId="0" fontId="12" fillId="5" borderId="20" xfId="15" applyFont="1" applyFill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distributed" vertical="center" wrapText="1" indent="2"/>
    </xf>
    <xf numFmtId="0" fontId="7" fillId="0" borderId="21" xfId="0" applyFont="1" applyBorder="1" applyAlignment="1">
      <alignment horizontal="distributed" vertical="center" wrapText="1" indent="2"/>
    </xf>
    <xf numFmtId="0" fontId="7" fillId="0" borderId="33" xfId="0" applyFont="1" applyBorder="1" applyAlignment="1">
      <alignment horizontal="distributed" vertical="center" wrapText="1" indent="2"/>
    </xf>
    <xf numFmtId="0" fontId="7" fillId="0" borderId="34" xfId="0" applyFont="1" applyBorder="1" applyAlignment="1">
      <alignment horizontal="distributed" vertical="center" wrapText="1" indent="4"/>
    </xf>
    <xf numFmtId="0" fontId="7" fillId="0" borderId="2" xfId="0" applyFont="1" applyBorder="1" applyAlignment="1">
      <alignment horizontal="distributed" vertical="center" wrapText="1" indent="4"/>
    </xf>
    <xf numFmtId="0" fontId="7" fillId="0" borderId="20" xfId="0" applyFont="1" applyBorder="1" applyAlignment="1">
      <alignment horizontal="distributed" vertical="center" wrapText="1" indent="4"/>
    </xf>
    <xf numFmtId="181" fontId="7" fillId="0" borderId="32" xfId="0" applyNumberFormat="1" applyFont="1" applyBorder="1" applyAlignment="1">
      <alignment horizontal="distributed" vertical="center" wrapText="1" indent="2"/>
    </xf>
    <xf numFmtId="181" fontId="7" fillId="0" borderId="21" xfId="0" applyNumberFormat="1" applyFont="1" applyBorder="1" applyAlignment="1">
      <alignment horizontal="distributed" vertical="center" wrapText="1" indent="2"/>
    </xf>
    <xf numFmtId="181" fontId="7" fillId="0" borderId="33" xfId="0" applyNumberFormat="1" applyFont="1" applyBorder="1" applyAlignment="1">
      <alignment horizontal="distributed" vertical="center" wrapText="1" indent="2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distributed" vertical="center" wrapText="1"/>
    </xf>
    <xf numFmtId="0" fontId="19" fillId="0" borderId="17" xfId="0" applyFont="1" applyBorder="1" applyAlignment="1">
      <alignment horizontal="distributed" vertical="center" wrapText="1"/>
    </xf>
    <xf numFmtId="181" fontId="8" fillId="0" borderId="16" xfId="0" applyNumberFormat="1" applyFont="1" applyBorder="1" applyAlignment="1">
      <alignment horizontal="distributed" vertical="center" wrapText="1"/>
    </xf>
    <xf numFmtId="181" fontId="20" fillId="0" borderId="17" xfId="0" applyNumberFormat="1" applyFont="1" applyBorder="1" applyAlignment="1">
      <alignment horizontal="distributed" vertical="center" wrapText="1"/>
    </xf>
    <xf numFmtId="0" fontId="16" fillId="0" borderId="17" xfId="0" applyFont="1" applyBorder="1" applyAlignment="1">
      <alignment horizontal="distributed" vertical="center" wrapText="1"/>
    </xf>
    <xf numFmtId="181" fontId="18" fillId="0" borderId="16" xfId="0" applyNumberFormat="1" applyFont="1" applyBorder="1" applyAlignment="1">
      <alignment horizontal="distributed" vertical="center" wrapText="1"/>
    </xf>
    <xf numFmtId="181" fontId="19" fillId="0" borderId="17" xfId="0" applyNumberFormat="1" applyFont="1" applyBorder="1" applyAlignment="1">
      <alignment horizontal="distributed" vertical="center" wrapText="1"/>
    </xf>
    <xf numFmtId="0" fontId="8" fillId="0" borderId="16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distributed" vertical="center" wrapText="1"/>
    </xf>
    <xf numFmtId="0" fontId="1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37" xfId="0" applyFont="1" applyBorder="1" applyAlignment="1">
      <alignment horizontal="distributed" vertical="center" wrapText="1"/>
    </xf>
    <xf numFmtId="0" fontId="8" fillId="0" borderId="38" xfId="0" applyFont="1" applyBorder="1" applyAlignment="1">
      <alignment horizontal="distributed" vertical="center" wrapText="1"/>
    </xf>
  </cellXfs>
  <cellStyles count="18">
    <cellStyle name="Grey" xfId="1" xr:uid="{00000000-0005-0000-0000-000000000000}"/>
    <cellStyle name="Header1" xfId="2" xr:uid="{00000000-0005-0000-0000-000001000000}"/>
    <cellStyle name="Header2" xfId="3" xr:uid="{00000000-0005-0000-0000-000002000000}"/>
    <cellStyle name="Input [yellow]" xfId="4" xr:uid="{00000000-0005-0000-0000-000003000000}"/>
    <cellStyle name="Normal - Style1" xfId="5" xr:uid="{00000000-0005-0000-0000-000004000000}"/>
    <cellStyle name="Percent [2]" xfId="6" xr:uid="{00000000-0005-0000-0000-000005000000}"/>
    <cellStyle name="桁区切り2" xfId="8" xr:uid="{00000000-0005-0000-0000-000006000000}"/>
    <cellStyle name="標準" xfId="0" builtinId="0"/>
    <cellStyle name="標準_（様式７、9,10）幹線計算060607" xfId="15" xr:uid="{00000000-0005-0000-0000-000008000000}"/>
    <cellStyle name="標準2" xfId="9" xr:uid="{00000000-0005-0000-0000-000009000000}"/>
    <cellStyle name="標準3" xfId="10" xr:uid="{00000000-0005-0000-0000-00000A000000}"/>
    <cellStyle name="標準4" xfId="11" xr:uid="{00000000-0005-0000-0000-00000B000000}"/>
    <cellStyle name="標準５" xfId="17" xr:uid="{00000000-0005-0000-0000-00000C000000}"/>
    <cellStyle name="標準6" xfId="12" xr:uid="{00000000-0005-0000-0000-00000D000000}"/>
    <cellStyle name="標準LOCK" xfId="13" xr:uid="{00000000-0005-0000-0000-00000E000000}"/>
    <cellStyle name="標準N-LOCK" xfId="14" xr:uid="{00000000-0005-0000-0000-00000F000000}"/>
    <cellStyle name="標準ｺﾞｼｯｸ" xfId="16" xr:uid="{00000000-0005-0000-0000-000010000000}"/>
    <cellStyle name="未定義" xfId="7" xr:uid="{00000000-0005-0000-0000-000011000000}"/>
  </cellStyles>
  <dxfs count="0"/>
  <tableStyles count="0" defaultTableStyle="TableStyleMedium9" defaultPivotStyle="PivotStyleLight16"/>
  <colors>
    <mruColors>
      <color rgb="FFFFA0A0"/>
      <color rgb="FFFFE9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view="pageBreakPreview" zoomScaleNormal="115" zoomScaleSheetLayoutView="100" workbookViewId="0">
      <selection activeCell="B3" sqref="B3:C3"/>
    </sheetView>
  </sheetViews>
  <sheetFormatPr defaultColWidth="9" defaultRowHeight="11.25"/>
  <cols>
    <col min="1" max="1" width="10.625" style="1" customWidth="1"/>
    <col min="2" max="4" width="6.625" style="1" customWidth="1"/>
    <col min="5" max="8" width="2.625" style="1" customWidth="1"/>
    <col min="9" max="9" width="6.625" style="1" customWidth="1"/>
    <col min="10" max="11" width="7.625" style="1" customWidth="1"/>
    <col min="12" max="12" width="6.625" style="1" customWidth="1"/>
    <col min="13" max="13" width="6.625" style="2" customWidth="1"/>
    <col min="14" max="15" width="10.625" style="1" customWidth="1"/>
    <col min="16" max="16" width="7.625" style="1" customWidth="1"/>
    <col min="17" max="17" width="6.625" style="1" customWidth="1"/>
    <col min="18" max="18" width="7.625" style="1" customWidth="1"/>
    <col min="19" max="19" width="6.625" style="2" customWidth="1"/>
    <col min="20" max="20" width="6.625" style="1" customWidth="1"/>
    <col min="21" max="21" width="10.625" style="1" customWidth="1"/>
    <col min="22" max="24" width="6.625" style="1" customWidth="1"/>
    <col min="25" max="25" width="9" style="1" customWidth="1"/>
    <col min="26" max="26" width="9" style="1"/>
    <col min="27" max="28" width="12.625" style="1" customWidth="1"/>
    <col min="29" max="16384" width="9" style="1"/>
  </cols>
  <sheetData>
    <row r="1" spans="1:24" s="3" customFormat="1" ht="15" customHeight="1" thickBot="1">
      <c r="M1" s="19"/>
      <c r="S1" s="19"/>
      <c r="V1" s="22"/>
      <c r="X1" s="22"/>
    </row>
    <row r="2" spans="1:24" ht="24.95" customHeight="1">
      <c r="A2" s="7" t="s">
        <v>0</v>
      </c>
      <c r="B2" s="9"/>
      <c r="C2" s="9"/>
      <c r="D2" s="12"/>
      <c r="E2" s="13"/>
      <c r="F2" s="9"/>
      <c r="G2" s="15"/>
      <c r="H2" s="9"/>
      <c r="I2" s="9"/>
      <c r="J2" s="17"/>
      <c r="K2" s="9"/>
      <c r="L2" s="18"/>
      <c r="M2" s="20"/>
      <c r="N2" s="21"/>
      <c r="O2" s="21"/>
      <c r="P2" s="21"/>
      <c r="Q2" s="21"/>
      <c r="R2" s="21"/>
      <c r="S2" s="20"/>
      <c r="T2" s="21"/>
      <c r="U2" s="21"/>
      <c r="V2" s="23"/>
      <c r="W2" s="90"/>
      <c r="X2" s="91"/>
    </row>
    <row r="3" spans="1:24" s="4" customFormat="1" ht="15" customHeight="1">
      <c r="A3" s="25" t="s">
        <v>5</v>
      </c>
      <c r="B3" s="186"/>
      <c r="C3" s="187"/>
      <c r="D3" s="168" t="s">
        <v>241</v>
      </c>
      <c r="E3" s="169"/>
      <c r="F3" s="169"/>
      <c r="G3" s="169"/>
      <c r="H3" s="169"/>
      <c r="I3" s="169"/>
      <c r="J3" s="170"/>
      <c r="K3" s="171"/>
      <c r="L3" s="168" t="s">
        <v>247</v>
      </c>
      <c r="M3" s="183"/>
      <c r="N3" s="183"/>
      <c r="O3" s="184"/>
      <c r="P3" s="185"/>
      <c r="Q3" s="16"/>
      <c r="R3" s="16"/>
      <c r="S3" s="16"/>
      <c r="T3" s="14"/>
      <c r="U3" s="16"/>
      <c r="V3" s="16"/>
      <c r="W3" s="16"/>
      <c r="X3" s="24"/>
    </row>
    <row r="4" spans="1:24" s="5" customFormat="1" ht="15" customHeight="1">
      <c r="A4" s="188" t="s">
        <v>25</v>
      </c>
      <c r="B4" s="189"/>
      <c r="C4" s="189"/>
      <c r="D4" s="190"/>
      <c r="E4" s="174" t="s">
        <v>33</v>
      </c>
      <c r="F4" s="175"/>
      <c r="G4" s="175"/>
      <c r="H4" s="175"/>
      <c r="I4" s="175"/>
      <c r="J4" s="176"/>
      <c r="K4" s="191" t="s">
        <v>20</v>
      </c>
      <c r="L4" s="192"/>
      <c r="M4" s="193"/>
      <c r="N4" s="194" t="s">
        <v>24</v>
      </c>
      <c r="O4" s="195"/>
      <c r="P4" s="195"/>
      <c r="Q4" s="195"/>
      <c r="R4" s="196"/>
      <c r="S4" s="197" t="s">
        <v>23</v>
      </c>
      <c r="T4" s="198"/>
      <c r="U4" s="198"/>
      <c r="V4" s="199"/>
      <c r="W4" s="202" t="s">
        <v>12</v>
      </c>
      <c r="X4" s="227" t="s">
        <v>267</v>
      </c>
    </row>
    <row r="5" spans="1:24" s="5" customFormat="1" ht="15" customHeight="1">
      <c r="A5" s="203" t="s">
        <v>13</v>
      </c>
      <c r="B5" s="172" t="s">
        <v>22</v>
      </c>
      <c r="C5" s="172" t="s">
        <v>4</v>
      </c>
      <c r="D5" s="172" t="s">
        <v>7</v>
      </c>
      <c r="E5" s="174" t="s">
        <v>6</v>
      </c>
      <c r="F5" s="175"/>
      <c r="G5" s="175"/>
      <c r="H5" s="176"/>
      <c r="I5" s="172" t="s">
        <v>3</v>
      </c>
      <c r="J5" s="26" t="s">
        <v>14</v>
      </c>
      <c r="K5" s="207" t="s">
        <v>1</v>
      </c>
      <c r="L5" s="210" t="s">
        <v>8</v>
      </c>
      <c r="M5" s="212" t="s">
        <v>36</v>
      </c>
      <c r="N5" s="207" t="s">
        <v>34</v>
      </c>
      <c r="O5" s="172" t="s">
        <v>37</v>
      </c>
      <c r="P5" s="207" t="s">
        <v>11</v>
      </c>
      <c r="Q5" s="200" t="s">
        <v>17</v>
      </c>
      <c r="R5" s="201"/>
      <c r="S5" s="215" t="s">
        <v>16</v>
      </c>
      <c r="T5" s="207" t="s">
        <v>9</v>
      </c>
      <c r="U5" s="217" t="s">
        <v>10</v>
      </c>
      <c r="V5" s="219" t="s">
        <v>32</v>
      </c>
      <c r="W5" s="202"/>
      <c r="X5" s="228"/>
    </row>
    <row r="6" spans="1:24" s="5" customFormat="1" ht="30" customHeight="1">
      <c r="A6" s="204"/>
      <c r="B6" s="173"/>
      <c r="C6" s="173"/>
      <c r="D6" s="173"/>
      <c r="E6" s="177"/>
      <c r="F6" s="178"/>
      <c r="G6" s="178"/>
      <c r="H6" s="179"/>
      <c r="I6" s="173"/>
      <c r="J6" s="27" t="s">
        <v>35</v>
      </c>
      <c r="K6" s="208"/>
      <c r="L6" s="211"/>
      <c r="M6" s="213"/>
      <c r="N6" s="214"/>
      <c r="O6" s="173"/>
      <c r="P6" s="208"/>
      <c r="Q6" s="210" t="s">
        <v>18</v>
      </c>
      <c r="R6" s="28" t="s">
        <v>19</v>
      </c>
      <c r="S6" s="216"/>
      <c r="T6" s="208"/>
      <c r="U6" s="218"/>
      <c r="V6" s="219"/>
      <c r="W6" s="202"/>
      <c r="X6" s="228"/>
    </row>
    <row r="7" spans="1:24" s="5" customFormat="1" ht="15" customHeight="1">
      <c r="A7" s="205"/>
      <c r="B7" s="206"/>
      <c r="C7" s="29" t="s">
        <v>26</v>
      </c>
      <c r="D7" s="30" t="s">
        <v>27</v>
      </c>
      <c r="E7" s="180"/>
      <c r="F7" s="181"/>
      <c r="G7" s="181"/>
      <c r="H7" s="182"/>
      <c r="I7" s="31" t="s">
        <v>28</v>
      </c>
      <c r="J7" s="30" t="s">
        <v>21</v>
      </c>
      <c r="K7" s="209"/>
      <c r="L7" s="32" t="s">
        <v>21</v>
      </c>
      <c r="M7" s="33" t="s">
        <v>21</v>
      </c>
      <c r="N7" s="32" t="s">
        <v>29</v>
      </c>
      <c r="O7" s="206"/>
      <c r="P7" s="32" t="s">
        <v>21</v>
      </c>
      <c r="Q7" s="220"/>
      <c r="R7" s="32" t="s">
        <v>21</v>
      </c>
      <c r="S7" s="33" t="s">
        <v>15</v>
      </c>
      <c r="T7" s="32" t="s">
        <v>2</v>
      </c>
      <c r="U7" s="34" t="s">
        <v>30</v>
      </c>
      <c r="V7" s="31" t="s">
        <v>31</v>
      </c>
      <c r="W7" s="89" t="s">
        <v>26</v>
      </c>
      <c r="X7" s="92" t="s">
        <v>29</v>
      </c>
    </row>
    <row r="8" spans="1:24" s="6" customFormat="1" ht="6" customHeight="1">
      <c r="A8" s="107"/>
      <c r="B8" s="110"/>
      <c r="C8" s="110"/>
      <c r="D8" s="110"/>
      <c r="E8" s="93"/>
      <c r="F8" s="93"/>
      <c r="G8" s="93"/>
      <c r="H8" s="93"/>
      <c r="I8" s="113"/>
      <c r="J8" s="116"/>
      <c r="K8" s="110"/>
      <c r="L8" s="110"/>
      <c r="M8" s="118"/>
      <c r="N8" s="110"/>
      <c r="O8" s="110"/>
      <c r="P8" s="121" t="str">
        <f>IF($O8="","",電線の選定!$E9)</f>
        <v/>
      </c>
      <c r="Q8" s="116"/>
      <c r="R8" s="124" t="str">
        <f>IF($Q10="","",ROUNDDOWN($P8*ラック低減の選定!D5,1))</f>
        <v/>
      </c>
      <c r="S8" s="127" t="str">
        <f>IF(ISERROR(INDEX(電気方式!$C$4:$C$7,MATCH($B8,電気方式!$B$4:$B$7,0)))=TRUE,"",INDEX(電気方式!$C$4:$C$7,MATCH($B8,電気方式!$B$4:$B$7,0)))</f>
        <v/>
      </c>
      <c r="T8" s="130"/>
      <c r="U8" s="165" t="str">
        <f>IF($T8="","",電線の選定!$E39)</f>
        <v/>
      </c>
      <c r="V8" s="136" t="str">
        <f>IF($T8="","",IF(MIN($J10,$P8,$R8)&gt;=$D8,(($S8*$M8*$I8*$U8)/1000),""))</f>
        <v/>
      </c>
      <c r="W8" s="102" t="str">
        <f>IF($T8="","",電圧降下の選定!$E5)</f>
        <v/>
      </c>
      <c r="X8" s="221" t="str" cm="1">
        <f t="array" ref="X8">IF($D8="","",MIN(IF(接地線!$B$5:$B$14&gt;=$D8,接地線!$C$5:$C$14,"")))</f>
        <v/>
      </c>
    </row>
    <row r="9" spans="1:24" s="6" customFormat="1" ht="6" customHeight="1">
      <c r="A9" s="108"/>
      <c r="B9" s="111"/>
      <c r="C9" s="111"/>
      <c r="D9" s="111"/>
      <c r="E9" s="94"/>
      <c r="F9" s="93"/>
      <c r="G9" s="93"/>
      <c r="H9" s="93"/>
      <c r="I9" s="114"/>
      <c r="J9" s="117"/>
      <c r="K9" s="111"/>
      <c r="L9" s="111"/>
      <c r="M9" s="119"/>
      <c r="N9" s="111"/>
      <c r="O9" s="111"/>
      <c r="P9" s="122"/>
      <c r="Q9" s="117"/>
      <c r="R9" s="125"/>
      <c r="S9" s="128"/>
      <c r="T9" s="131"/>
      <c r="U9" s="166"/>
      <c r="V9" s="137"/>
      <c r="W9" s="103"/>
      <c r="X9" s="222"/>
    </row>
    <row r="10" spans="1:24" s="6" customFormat="1" ht="6" customHeight="1">
      <c r="A10" s="108"/>
      <c r="B10" s="111"/>
      <c r="C10" s="111"/>
      <c r="D10" s="111"/>
      <c r="E10" s="94"/>
      <c r="F10" s="93"/>
      <c r="G10" s="93"/>
      <c r="H10" s="95"/>
      <c r="I10" s="114"/>
      <c r="J10" s="105"/>
      <c r="K10" s="111"/>
      <c r="L10" s="111"/>
      <c r="M10" s="119"/>
      <c r="N10" s="111"/>
      <c r="O10" s="111"/>
      <c r="P10" s="122"/>
      <c r="Q10" s="105"/>
      <c r="R10" s="125"/>
      <c r="S10" s="128"/>
      <c r="T10" s="131"/>
      <c r="U10" s="166"/>
      <c r="V10" s="137"/>
      <c r="W10" s="103"/>
      <c r="X10" s="222"/>
    </row>
    <row r="11" spans="1:24" s="6" customFormat="1" ht="6" customHeight="1">
      <c r="A11" s="148"/>
      <c r="B11" s="141"/>
      <c r="C11" s="141"/>
      <c r="D11" s="141"/>
      <c r="E11" s="94"/>
      <c r="F11" s="93"/>
      <c r="G11" s="93"/>
      <c r="H11" s="95"/>
      <c r="I11" s="149"/>
      <c r="J11" s="106"/>
      <c r="K11" s="141"/>
      <c r="L11" s="141"/>
      <c r="M11" s="150"/>
      <c r="N11" s="141"/>
      <c r="O11" s="141"/>
      <c r="P11" s="142"/>
      <c r="Q11" s="106"/>
      <c r="R11" s="143"/>
      <c r="S11" s="144"/>
      <c r="T11" s="145"/>
      <c r="U11" s="167"/>
      <c r="V11" s="147"/>
      <c r="W11" s="104"/>
      <c r="X11" s="223"/>
    </row>
    <row r="12" spans="1:24" s="6" customFormat="1" ht="6" customHeight="1">
      <c r="A12" s="107"/>
      <c r="B12" s="110"/>
      <c r="C12" s="110"/>
      <c r="D12" s="110"/>
      <c r="E12" s="93"/>
      <c r="F12" s="93"/>
      <c r="G12" s="93"/>
      <c r="H12" s="93"/>
      <c r="I12" s="113"/>
      <c r="J12" s="116"/>
      <c r="K12" s="110"/>
      <c r="L12" s="110"/>
      <c r="M12" s="118"/>
      <c r="N12" s="110"/>
      <c r="O12" s="110"/>
      <c r="P12" s="121" t="str">
        <f>IF($O12="","",電線の選定!$E10)</f>
        <v/>
      </c>
      <c r="Q12" s="116"/>
      <c r="R12" s="124" t="str">
        <f>IF($Q14="","",ROUNDDOWN($P12*ラック低減の選定!D6,1))</f>
        <v/>
      </c>
      <c r="S12" s="127" t="str">
        <f>IF(ISERROR(INDEX(電気方式!$C$4:$C$7,MATCH($B12,電気方式!$B$4:$B$7,0)))=TRUE,"",INDEX(電気方式!$C$4:$C$7,MATCH($B12,電気方式!$B$4:$B$7,0)))</f>
        <v/>
      </c>
      <c r="T12" s="130"/>
      <c r="U12" s="165" t="str">
        <f>IF($T12="","",電線の選定!$E40)</f>
        <v/>
      </c>
      <c r="V12" s="136" t="str">
        <f t="shared" ref="V12" si="0">IF($T12="","",IF(MIN($J14,$P12,$R12)&gt;=$D12,(($S12*$M12*$I12*$U12)/1000),""))</f>
        <v/>
      </c>
      <c r="W12" s="102" t="str">
        <f>IF($T12="","",電圧降下の選定!$E6)</f>
        <v/>
      </c>
      <c r="X12" s="221" t="str" cm="1">
        <f t="array" ref="X12">IF($D12="","",MIN(IF(接地線!$B$5:$B$14&gt;=$D12,接地線!$C$5:$C$14,"")))</f>
        <v/>
      </c>
    </row>
    <row r="13" spans="1:24" s="6" customFormat="1" ht="6" customHeight="1">
      <c r="A13" s="108"/>
      <c r="B13" s="111"/>
      <c r="C13" s="111"/>
      <c r="D13" s="111"/>
      <c r="E13" s="94"/>
      <c r="F13" s="93"/>
      <c r="G13" s="93"/>
      <c r="H13" s="93"/>
      <c r="I13" s="114"/>
      <c r="J13" s="117"/>
      <c r="K13" s="111"/>
      <c r="L13" s="111"/>
      <c r="M13" s="119"/>
      <c r="N13" s="111"/>
      <c r="O13" s="111"/>
      <c r="P13" s="122"/>
      <c r="Q13" s="117"/>
      <c r="R13" s="125"/>
      <c r="S13" s="128"/>
      <c r="T13" s="131"/>
      <c r="U13" s="166"/>
      <c r="V13" s="137"/>
      <c r="W13" s="103"/>
      <c r="X13" s="222"/>
    </row>
    <row r="14" spans="1:24" s="6" customFormat="1" ht="6" customHeight="1">
      <c r="A14" s="108"/>
      <c r="B14" s="111"/>
      <c r="C14" s="111"/>
      <c r="D14" s="111"/>
      <c r="E14" s="94"/>
      <c r="F14" s="93"/>
      <c r="G14" s="93"/>
      <c r="H14" s="95"/>
      <c r="I14" s="114"/>
      <c r="J14" s="105"/>
      <c r="K14" s="111"/>
      <c r="L14" s="111"/>
      <c r="M14" s="119"/>
      <c r="N14" s="111"/>
      <c r="O14" s="111"/>
      <c r="P14" s="122"/>
      <c r="Q14" s="105"/>
      <c r="R14" s="125"/>
      <c r="S14" s="128"/>
      <c r="T14" s="131"/>
      <c r="U14" s="166"/>
      <c r="V14" s="137"/>
      <c r="W14" s="103"/>
      <c r="X14" s="222"/>
    </row>
    <row r="15" spans="1:24" s="6" customFormat="1" ht="6" customHeight="1">
      <c r="A15" s="148"/>
      <c r="B15" s="141"/>
      <c r="C15" s="141"/>
      <c r="D15" s="141"/>
      <c r="E15" s="94"/>
      <c r="F15" s="93"/>
      <c r="G15" s="93"/>
      <c r="H15" s="95"/>
      <c r="I15" s="149"/>
      <c r="J15" s="106"/>
      <c r="K15" s="141"/>
      <c r="L15" s="141"/>
      <c r="M15" s="150"/>
      <c r="N15" s="141"/>
      <c r="O15" s="141"/>
      <c r="P15" s="142"/>
      <c r="Q15" s="106"/>
      <c r="R15" s="143"/>
      <c r="S15" s="144"/>
      <c r="T15" s="145"/>
      <c r="U15" s="167"/>
      <c r="V15" s="147"/>
      <c r="W15" s="104"/>
      <c r="X15" s="223"/>
    </row>
    <row r="16" spans="1:24" s="6" customFormat="1" ht="6" customHeight="1">
      <c r="A16" s="107"/>
      <c r="B16" s="110"/>
      <c r="C16" s="110"/>
      <c r="D16" s="110"/>
      <c r="E16" s="94"/>
      <c r="F16" s="93"/>
      <c r="G16" s="93"/>
      <c r="H16" s="95"/>
      <c r="I16" s="113"/>
      <c r="J16" s="116"/>
      <c r="K16" s="110"/>
      <c r="L16" s="110"/>
      <c r="M16" s="118"/>
      <c r="N16" s="110"/>
      <c r="O16" s="110"/>
      <c r="P16" s="121" t="str">
        <f>IF($O16="","",電線の選定!$E11)</f>
        <v/>
      </c>
      <c r="Q16" s="116"/>
      <c r="R16" s="124" t="str">
        <f>IF($Q18="","",ROUNDDOWN($P16*ラック低減の選定!D7,1))</f>
        <v/>
      </c>
      <c r="S16" s="127" t="str">
        <f>IF(ISERROR(INDEX(電気方式!$C$4:$C$7,MATCH($B16,電気方式!$B$4:$B$7,0)))=TRUE,"",INDEX(電気方式!$C$4:$C$7,MATCH($B16,電気方式!$B$4:$B$7,0)))</f>
        <v/>
      </c>
      <c r="T16" s="130"/>
      <c r="U16" s="133" t="str">
        <f>IF($T16="","",電線の選定!$E41)</f>
        <v/>
      </c>
      <c r="V16" s="136" t="str">
        <f t="shared" ref="V16" si="1">IF($T16="","",IF(MIN($J18,$P16,$R16)&gt;=$D16,(($S16*$M16*$I16*$U16)/1000),""))</f>
        <v/>
      </c>
      <c r="W16" s="102" t="str">
        <f>IF($T16="","",電圧降下の選定!$E7)</f>
        <v/>
      </c>
      <c r="X16" s="221" t="str" cm="1">
        <f t="array" ref="X16">IF($D16="","",MIN(IF(接地線!$B$5:$B$14&gt;=$D16,接地線!$C$5:$C$14,"")))</f>
        <v/>
      </c>
    </row>
    <row r="17" spans="1:24" s="6" customFormat="1" ht="6" customHeight="1">
      <c r="A17" s="108"/>
      <c r="B17" s="111"/>
      <c r="C17" s="111"/>
      <c r="D17" s="111"/>
      <c r="E17" s="94"/>
      <c r="F17" s="93"/>
      <c r="G17" s="93"/>
      <c r="H17" s="95"/>
      <c r="I17" s="114"/>
      <c r="J17" s="117"/>
      <c r="K17" s="111"/>
      <c r="L17" s="111"/>
      <c r="M17" s="119"/>
      <c r="N17" s="111"/>
      <c r="O17" s="111"/>
      <c r="P17" s="122"/>
      <c r="Q17" s="117"/>
      <c r="R17" s="125"/>
      <c r="S17" s="128"/>
      <c r="T17" s="131"/>
      <c r="U17" s="134"/>
      <c r="V17" s="137"/>
      <c r="W17" s="103"/>
      <c r="X17" s="222"/>
    </row>
    <row r="18" spans="1:24" s="6" customFormat="1" ht="6" customHeight="1">
      <c r="A18" s="108"/>
      <c r="B18" s="111"/>
      <c r="C18" s="111"/>
      <c r="D18" s="111"/>
      <c r="E18" s="94"/>
      <c r="F18" s="93"/>
      <c r="G18" s="93"/>
      <c r="H18" s="95"/>
      <c r="I18" s="114"/>
      <c r="J18" s="105"/>
      <c r="K18" s="111"/>
      <c r="L18" s="111"/>
      <c r="M18" s="119"/>
      <c r="N18" s="111"/>
      <c r="O18" s="111"/>
      <c r="P18" s="122"/>
      <c r="Q18" s="105"/>
      <c r="R18" s="125"/>
      <c r="S18" s="128"/>
      <c r="T18" s="131"/>
      <c r="U18" s="134"/>
      <c r="V18" s="137"/>
      <c r="W18" s="103"/>
      <c r="X18" s="222"/>
    </row>
    <row r="19" spans="1:24" s="6" customFormat="1" ht="6" customHeight="1">
      <c r="A19" s="148"/>
      <c r="B19" s="141"/>
      <c r="C19" s="141"/>
      <c r="D19" s="141"/>
      <c r="E19" s="94"/>
      <c r="F19" s="93"/>
      <c r="G19" s="93"/>
      <c r="H19" s="95"/>
      <c r="I19" s="149"/>
      <c r="J19" s="106"/>
      <c r="K19" s="141"/>
      <c r="L19" s="141"/>
      <c r="M19" s="150"/>
      <c r="N19" s="141"/>
      <c r="O19" s="141"/>
      <c r="P19" s="142"/>
      <c r="Q19" s="106"/>
      <c r="R19" s="143"/>
      <c r="S19" s="144"/>
      <c r="T19" s="145"/>
      <c r="U19" s="146"/>
      <c r="V19" s="147"/>
      <c r="W19" s="104"/>
      <c r="X19" s="223"/>
    </row>
    <row r="20" spans="1:24" s="6" customFormat="1" ht="6" customHeight="1">
      <c r="A20" s="107"/>
      <c r="B20" s="110"/>
      <c r="C20" s="110"/>
      <c r="D20" s="110"/>
      <c r="E20" s="94"/>
      <c r="F20" s="93"/>
      <c r="G20" s="93"/>
      <c r="H20" s="95"/>
      <c r="I20" s="113"/>
      <c r="J20" s="116"/>
      <c r="K20" s="110"/>
      <c r="L20" s="110"/>
      <c r="M20" s="118"/>
      <c r="N20" s="110"/>
      <c r="O20" s="110"/>
      <c r="P20" s="121" t="str">
        <f>IF($O20="","",電線の選定!$E12)</f>
        <v/>
      </c>
      <c r="Q20" s="116"/>
      <c r="R20" s="124" t="str">
        <f>IF($Q22="","",ROUNDDOWN($P20*ラック低減の選定!D8,1))</f>
        <v/>
      </c>
      <c r="S20" s="127" t="str">
        <f>IF(ISERROR(INDEX(電気方式!$C$4:$C$7,MATCH($B20,電気方式!$B$4:$B$7,0)))=TRUE,"",INDEX(電気方式!$C$4:$C$7,MATCH($B20,電気方式!$B$4:$B$7,0)))</f>
        <v/>
      </c>
      <c r="T20" s="130"/>
      <c r="U20" s="133" t="str">
        <f>IF($T20="","",電線の選定!$E42)</f>
        <v/>
      </c>
      <c r="V20" s="136" t="str">
        <f t="shared" ref="V20" si="2">IF($T20="","",IF(MIN($J22,$P20,$R20)&gt;=$D20,(($S20*$M20*$I20*$U20)/1000),""))</f>
        <v/>
      </c>
      <c r="W20" s="102" t="str">
        <f>IF($T20="","",電圧降下の選定!$E8)</f>
        <v/>
      </c>
      <c r="X20" s="221" t="str" cm="1">
        <f t="array" ref="X20">IF($D20="","",MIN(IF(接地線!$B$5:$B$14&gt;=$D20,接地線!$C$5:$C$14,"")))</f>
        <v/>
      </c>
    </row>
    <row r="21" spans="1:24" s="6" customFormat="1" ht="6" customHeight="1">
      <c r="A21" s="108"/>
      <c r="B21" s="111"/>
      <c r="C21" s="111"/>
      <c r="D21" s="111"/>
      <c r="E21" s="94"/>
      <c r="F21" s="93"/>
      <c r="G21" s="93"/>
      <c r="H21" s="95"/>
      <c r="I21" s="114"/>
      <c r="J21" s="117"/>
      <c r="K21" s="111"/>
      <c r="L21" s="111"/>
      <c r="M21" s="119"/>
      <c r="N21" s="111"/>
      <c r="O21" s="111"/>
      <c r="P21" s="122"/>
      <c r="Q21" s="117"/>
      <c r="R21" s="125"/>
      <c r="S21" s="128"/>
      <c r="T21" s="131"/>
      <c r="U21" s="134"/>
      <c r="V21" s="137"/>
      <c r="W21" s="103"/>
      <c r="X21" s="222"/>
    </row>
    <row r="22" spans="1:24" s="6" customFormat="1" ht="6" customHeight="1">
      <c r="A22" s="108"/>
      <c r="B22" s="111"/>
      <c r="C22" s="111"/>
      <c r="D22" s="111"/>
      <c r="E22" s="94"/>
      <c r="F22" s="93"/>
      <c r="G22" s="93"/>
      <c r="H22" s="95"/>
      <c r="I22" s="114"/>
      <c r="J22" s="105"/>
      <c r="K22" s="111"/>
      <c r="L22" s="111"/>
      <c r="M22" s="119"/>
      <c r="N22" s="111"/>
      <c r="O22" s="111"/>
      <c r="P22" s="122"/>
      <c r="Q22" s="105"/>
      <c r="R22" s="125"/>
      <c r="S22" s="128"/>
      <c r="T22" s="131"/>
      <c r="U22" s="134"/>
      <c r="V22" s="137"/>
      <c r="W22" s="103"/>
      <c r="X22" s="222"/>
    </row>
    <row r="23" spans="1:24" s="6" customFormat="1" ht="6" customHeight="1">
      <c r="A23" s="148"/>
      <c r="B23" s="141"/>
      <c r="C23" s="141"/>
      <c r="D23" s="141"/>
      <c r="E23" s="94"/>
      <c r="F23" s="93"/>
      <c r="G23" s="93"/>
      <c r="H23" s="95"/>
      <c r="I23" s="149"/>
      <c r="J23" s="106"/>
      <c r="K23" s="141"/>
      <c r="L23" s="141"/>
      <c r="M23" s="150"/>
      <c r="N23" s="141"/>
      <c r="O23" s="141"/>
      <c r="P23" s="142"/>
      <c r="Q23" s="106"/>
      <c r="R23" s="143"/>
      <c r="S23" s="144"/>
      <c r="T23" s="145"/>
      <c r="U23" s="146"/>
      <c r="V23" s="147"/>
      <c r="W23" s="104"/>
      <c r="X23" s="223"/>
    </row>
    <row r="24" spans="1:24" s="6" customFormat="1" ht="6" customHeight="1">
      <c r="A24" s="107"/>
      <c r="B24" s="110"/>
      <c r="C24" s="110"/>
      <c r="D24" s="110"/>
      <c r="E24" s="94"/>
      <c r="F24" s="93"/>
      <c r="G24" s="93"/>
      <c r="H24" s="95"/>
      <c r="I24" s="113"/>
      <c r="J24" s="116"/>
      <c r="K24" s="110"/>
      <c r="L24" s="110"/>
      <c r="M24" s="118"/>
      <c r="N24" s="110"/>
      <c r="O24" s="110"/>
      <c r="P24" s="121" t="str">
        <f>IF($O24="","",電線の選定!$E13)</f>
        <v/>
      </c>
      <c r="Q24" s="116"/>
      <c r="R24" s="124" t="str">
        <f>IF($Q26="","",ROUNDDOWN($P24*ラック低減の選定!D9,1))</f>
        <v/>
      </c>
      <c r="S24" s="127" t="str">
        <f>IF(ISERROR(INDEX(電気方式!$C$4:$C$7,MATCH($B24,電気方式!$B$4:$B$7,0)))=TRUE,"",INDEX(電気方式!$C$4:$C$7,MATCH($B24,電気方式!$B$4:$B$7,0)))</f>
        <v/>
      </c>
      <c r="T24" s="130"/>
      <c r="U24" s="133" t="str">
        <f>IF($T24="","",電線の選定!$E43)</f>
        <v/>
      </c>
      <c r="V24" s="136" t="str">
        <f t="shared" ref="V24" si="3">IF($T24="","",IF(MIN($J26,$P24,$R24)&gt;=$D24,(($S24*$M24*$I24*$U24)/1000),""))</f>
        <v/>
      </c>
      <c r="W24" s="102" t="str">
        <f>IF($T24="","",電圧降下の選定!$E9)</f>
        <v/>
      </c>
      <c r="X24" s="221" t="str" cm="1">
        <f t="array" ref="X24">IF($D24="","",MIN(IF(接地線!$B$5:$B$14&gt;=$D24,接地線!$C$5:$C$14,"")))</f>
        <v/>
      </c>
    </row>
    <row r="25" spans="1:24" s="6" customFormat="1" ht="6" customHeight="1">
      <c r="A25" s="108"/>
      <c r="B25" s="111"/>
      <c r="C25" s="111"/>
      <c r="D25" s="111"/>
      <c r="E25" s="94"/>
      <c r="F25" s="93"/>
      <c r="G25" s="93"/>
      <c r="H25" s="95"/>
      <c r="I25" s="114"/>
      <c r="J25" s="117"/>
      <c r="K25" s="111"/>
      <c r="L25" s="111"/>
      <c r="M25" s="119"/>
      <c r="N25" s="111"/>
      <c r="O25" s="111"/>
      <c r="P25" s="122"/>
      <c r="Q25" s="117"/>
      <c r="R25" s="125"/>
      <c r="S25" s="128"/>
      <c r="T25" s="131"/>
      <c r="U25" s="134"/>
      <c r="V25" s="137"/>
      <c r="W25" s="103"/>
      <c r="X25" s="222"/>
    </row>
    <row r="26" spans="1:24" s="6" customFormat="1" ht="6" customHeight="1">
      <c r="A26" s="108"/>
      <c r="B26" s="111"/>
      <c r="C26" s="111"/>
      <c r="D26" s="111"/>
      <c r="E26" s="94"/>
      <c r="F26" s="93"/>
      <c r="G26" s="93"/>
      <c r="H26" s="95"/>
      <c r="I26" s="114"/>
      <c r="J26" s="105"/>
      <c r="K26" s="111"/>
      <c r="L26" s="111"/>
      <c r="M26" s="119"/>
      <c r="N26" s="111"/>
      <c r="O26" s="111"/>
      <c r="P26" s="122"/>
      <c r="Q26" s="105"/>
      <c r="R26" s="125"/>
      <c r="S26" s="128"/>
      <c r="T26" s="131"/>
      <c r="U26" s="134"/>
      <c r="V26" s="137"/>
      <c r="W26" s="103"/>
      <c r="X26" s="222"/>
    </row>
    <row r="27" spans="1:24" s="6" customFormat="1" ht="6" customHeight="1">
      <c r="A27" s="148"/>
      <c r="B27" s="141"/>
      <c r="C27" s="141"/>
      <c r="D27" s="141"/>
      <c r="E27" s="94"/>
      <c r="F27" s="93"/>
      <c r="G27" s="93"/>
      <c r="H27" s="95"/>
      <c r="I27" s="149"/>
      <c r="J27" s="106"/>
      <c r="K27" s="141"/>
      <c r="L27" s="141"/>
      <c r="M27" s="150"/>
      <c r="N27" s="141"/>
      <c r="O27" s="141"/>
      <c r="P27" s="142"/>
      <c r="Q27" s="106"/>
      <c r="R27" s="143"/>
      <c r="S27" s="144"/>
      <c r="T27" s="145"/>
      <c r="U27" s="146"/>
      <c r="V27" s="147"/>
      <c r="W27" s="104"/>
      <c r="X27" s="223"/>
    </row>
    <row r="28" spans="1:24" s="6" customFormat="1" ht="6" customHeight="1">
      <c r="A28" s="107"/>
      <c r="B28" s="110"/>
      <c r="C28" s="110"/>
      <c r="D28" s="110"/>
      <c r="E28" s="94"/>
      <c r="F28" s="93"/>
      <c r="G28" s="93"/>
      <c r="H28" s="95"/>
      <c r="I28" s="113"/>
      <c r="J28" s="116"/>
      <c r="K28" s="110"/>
      <c r="L28" s="110"/>
      <c r="M28" s="118"/>
      <c r="N28" s="110"/>
      <c r="O28" s="110"/>
      <c r="P28" s="121" t="str">
        <f>IF($O28="","",電線の選定!$E14)</f>
        <v/>
      </c>
      <c r="Q28" s="116"/>
      <c r="R28" s="124" t="str">
        <f>IF($Q30="","",ROUNDDOWN($P28*ラック低減の選定!D10,1))</f>
        <v/>
      </c>
      <c r="S28" s="127" t="str">
        <f>IF(ISERROR(INDEX(電気方式!$C$4:$C$7,MATCH($B28,電気方式!$B$4:$B$7,0)))=TRUE,"",INDEX(電気方式!$C$4:$C$7,MATCH($B28,電気方式!$B$4:$B$7,0)))</f>
        <v/>
      </c>
      <c r="T28" s="130"/>
      <c r="U28" s="133" t="str">
        <f>IF($T28="","",電線の選定!$E44)</f>
        <v/>
      </c>
      <c r="V28" s="136" t="str">
        <f t="shared" ref="V28" si="4">IF($T28="","",IF(MIN($J30,$P28,$R28)&gt;=$D28,(($S28*$M28*$I28*$U28)/1000),""))</f>
        <v/>
      </c>
      <c r="W28" s="102" t="str">
        <f>IF($T28="","",電圧降下の選定!$E10)</f>
        <v/>
      </c>
      <c r="X28" s="221" t="str" cm="1">
        <f t="array" ref="X28">IF($D28="","",MIN(IF(接地線!$B$5:$B$14&gt;=$D28,接地線!$C$5:$C$14,"")))</f>
        <v/>
      </c>
    </row>
    <row r="29" spans="1:24" s="6" customFormat="1" ht="6" customHeight="1">
      <c r="A29" s="108"/>
      <c r="B29" s="111"/>
      <c r="C29" s="111"/>
      <c r="D29" s="111"/>
      <c r="E29" s="94"/>
      <c r="F29" s="93"/>
      <c r="G29" s="93"/>
      <c r="H29" s="95"/>
      <c r="I29" s="114"/>
      <c r="J29" s="117"/>
      <c r="K29" s="111"/>
      <c r="L29" s="111"/>
      <c r="M29" s="119"/>
      <c r="N29" s="111"/>
      <c r="O29" s="111"/>
      <c r="P29" s="122"/>
      <c r="Q29" s="117"/>
      <c r="R29" s="125"/>
      <c r="S29" s="128"/>
      <c r="T29" s="131"/>
      <c r="U29" s="134"/>
      <c r="V29" s="137"/>
      <c r="W29" s="103"/>
      <c r="X29" s="222"/>
    </row>
    <row r="30" spans="1:24" s="6" customFormat="1" ht="6" customHeight="1">
      <c r="A30" s="108"/>
      <c r="B30" s="111"/>
      <c r="C30" s="111"/>
      <c r="D30" s="111"/>
      <c r="E30" s="94"/>
      <c r="F30" s="93"/>
      <c r="G30" s="93"/>
      <c r="H30" s="95"/>
      <c r="I30" s="114"/>
      <c r="J30" s="105"/>
      <c r="K30" s="111"/>
      <c r="L30" s="111"/>
      <c r="M30" s="119"/>
      <c r="N30" s="111"/>
      <c r="O30" s="111"/>
      <c r="P30" s="122"/>
      <c r="Q30" s="105"/>
      <c r="R30" s="125"/>
      <c r="S30" s="128"/>
      <c r="T30" s="131"/>
      <c r="U30" s="134"/>
      <c r="V30" s="137"/>
      <c r="W30" s="103"/>
      <c r="X30" s="222"/>
    </row>
    <row r="31" spans="1:24" s="6" customFormat="1" ht="6" customHeight="1">
      <c r="A31" s="148"/>
      <c r="B31" s="141"/>
      <c r="C31" s="141"/>
      <c r="D31" s="141"/>
      <c r="E31" s="94"/>
      <c r="F31" s="93"/>
      <c r="G31" s="93"/>
      <c r="H31" s="95"/>
      <c r="I31" s="149"/>
      <c r="J31" s="106"/>
      <c r="K31" s="141"/>
      <c r="L31" s="141"/>
      <c r="M31" s="150"/>
      <c r="N31" s="141"/>
      <c r="O31" s="141"/>
      <c r="P31" s="142"/>
      <c r="Q31" s="106"/>
      <c r="R31" s="143"/>
      <c r="S31" s="144"/>
      <c r="T31" s="145"/>
      <c r="U31" s="146"/>
      <c r="V31" s="147"/>
      <c r="W31" s="104"/>
      <c r="X31" s="223"/>
    </row>
    <row r="32" spans="1:24" s="6" customFormat="1" ht="6" customHeight="1">
      <c r="A32" s="107"/>
      <c r="B32" s="110"/>
      <c r="C32" s="110"/>
      <c r="D32" s="110"/>
      <c r="E32" s="94"/>
      <c r="F32" s="93"/>
      <c r="G32" s="93"/>
      <c r="H32" s="95"/>
      <c r="I32" s="113"/>
      <c r="J32" s="116"/>
      <c r="K32" s="110"/>
      <c r="L32" s="110"/>
      <c r="M32" s="118"/>
      <c r="N32" s="110"/>
      <c r="O32" s="110"/>
      <c r="P32" s="121" t="str">
        <f>IF($O32="","",電線の選定!$E15)</f>
        <v/>
      </c>
      <c r="Q32" s="116"/>
      <c r="R32" s="124" t="str">
        <f>IF($Q34="","",ROUNDDOWN($P32*ラック低減の選定!D11,1))</f>
        <v/>
      </c>
      <c r="S32" s="127" t="str">
        <f>IF(ISERROR(INDEX(電気方式!$C$4:$C$7,MATCH($B32,電気方式!$B$4:$B$7,0)))=TRUE,"",INDEX(電気方式!$C$4:$C$7,MATCH($B32,電気方式!$B$4:$B$7,0)))</f>
        <v/>
      </c>
      <c r="T32" s="130"/>
      <c r="U32" s="133" t="str">
        <f>IF($T32="","",電線の選定!$E45)</f>
        <v/>
      </c>
      <c r="V32" s="136" t="str">
        <f t="shared" ref="V32" si="5">IF($T32="","",IF(MIN($J34,$P32,$R32)&gt;=$D32,(($S32*$M32*$I32*$U32)/1000),""))</f>
        <v/>
      </c>
      <c r="W32" s="102" t="str">
        <f>IF($T32="","",電圧降下の選定!$E11)</f>
        <v/>
      </c>
      <c r="X32" s="221" t="str" cm="1">
        <f t="array" ref="X32">IF($D32="","",MIN(IF(接地線!$B$5:$B$14&gt;=$D32,接地線!$C$5:$C$14,"")))</f>
        <v/>
      </c>
    </row>
    <row r="33" spans="1:24" s="6" customFormat="1" ht="6" customHeight="1">
      <c r="A33" s="108"/>
      <c r="B33" s="111"/>
      <c r="C33" s="111"/>
      <c r="D33" s="111"/>
      <c r="E33" s="94"/>
      <c r="F33" s="93"/>
      <c r="G33" s="93"/>
      <c r="H33" s="95"/>
      <c r="I33" s="114"/>
      <c r="J33" s="117"/>
      <c r="K33" s="111"/>
      <c r="L33" s="111"/>
      <c r="M33" s="119"/>
      <c r="N33" s="111"/>
      <c r="O33" s="111"/>
      <c r="P33" s="122"/>
      <c r="Q33" s="117"/>
      <c r="R33" s="125"/>
      <c r="S33" s="128"/>
      <c r="T33" s="131"/>
      <c r="U33" s="134"/>
      <c r="V33" s="137"/>
      <c r="W33" s="103"/>
      <c r="X33" s="222"/>
    </row>
    <row r="34" spans="1:24" s="6" customFormat="1" ht="6" customHeight="1">
      <c r="A34" s="108"/>
      <c r="B34" s="111"/>
      <c r="C34" s="111"/>
      <c r="D34" s="111"/>
      <c r="E34" s="94"/>
      <c r="F34" s="93"/>
      <c r="G34" s="93"/>
      <c r="H34" s="95"/>
      <c r="I34" s="114"/>
      <c r="J34" s="105"/>
      <c r="K34" s="111"/>
      <c r="L34" s="111"/>
      <c r="M34" s="119"/>
      <c r="N34" s="111"/>
      <c r="O34" s="111"/>
      <c r="P34" s="122"/>
      <c r="Q34" s="105"/>
      <c r="R34" s="125"/>
      <c r="S34" s="128"/>
      <c r="T34" s="131"/>
      <c r="U34" s="134"/>
      <c r="V34" s="137"/>
      <c r="W34" s="103"/>
      <c r="X34" s="222"/>
    </row>
    <row r="35" spans="1:24" s="6" customFormat="1" ht="6" customHeight="1">
      <c r="A35" s="148"/>
      <c r="B35" s="141"/>
      <c r="C35" s="141"/>
      <c r="D35" s="141"/>
      <c r="E35" s="94"/>
      <c r="F35" s="93"/>
      <c r="G35" s="93"/>
      <c r="H35" s="95"/>
      <c r="I35" s="149"/>
      <c r="J35" s="106"/>
      <c r="K35" s="141"/>
      <c r="L35" s="141"/>
      <c r="M35" s="150"/>
      <c r="N35" s="141"/>
      <c r="O35" s="141"/>
      <c r="P35" s="142"/>
      <c r="Q35" s="106"/>
      <c r="R35" s="143"/>
      <c r="S35" s="144"/>
      <c r="T35" s="145"/>
      <c r="U35" s="146"/>
      <c r="V35" s="147"/>
      <c r="W35" s="104"/>
      <c r="X35" s="223"/>
    </row>
    <row r="36" spans="1:24" s="6" customFormat="1" ht="6" customHeight="1">
      <c r="A36" s="107"/>
      <c r="B36" s="110"/>
      <c r="C36" s="110"/>
      <c r="D36" s="110"/>
      <c r="E36" s="94"/>
      <c r="F36" s="93"/>
      <c r="G36" s="93"/>
      <c r="H36" s="95"/>
      <c r="I36" s="113"/>
      <c r="J36" s="116"/>
      <c r="K36" s="110"/>
      <c r="L36" s="110"/>
      <c r="M36" s="118"/>
      <c r="N36" s="110"/>
      <c r="O36" s="110"/>
      <c r="P36" s="121" t="str">
        <f>IF($O36="","",電線の選定!$E16)</f>
        <v/>
      </c>
      <c r="Q36" s="116"/>
      <c r="R36" s="124" t="str">
        <f>IF($Q38="","",ROUNDDOWN($P36*ラック低減の選定!D12,1))</f>
        <v/>
      </c>
      <c r="S36" s="127" t="str">
        <f>IF(ISERROR(INDEX(電気方式!$C$4:$C$7,MATCH($B36,電気方式!$B$4:$B$7,0)))=TRUE,"",INDEX(電気方式!$C$4:$C$7,MATCH($B36,電気方式!$B$4:$B$7,0)))</f>
        <v/>
      </c>
      <c r="T36" s="130"/>
      <c r="U36" s="133" t="str">
        <f>IF($T36="","",電線の選定!$E46)</f>
        <v/>
      </c>
      <c r="V36" s="136" t="str">
        <f t="shared" ref="V36" si="6">IF($T36="","",IF(MIN($J38,$P36,$R36)&gt;=$D36,(($S36*$M36*$I36*$U36)/1000),""))</f>
        <v/>
      </c>
      <c r="W36" s="102" t="str">
        <f>IF($T36="","",電圧降下の選定!$E12)</f>
        <v/>
      </c>
      <c r="X36" s="221" t="str" cm="1">
        <f t="array" ref="X36">IF($D36="","",MIN(IF(接地線!$B$5:$B$14&gt;=$D36,接地線!$C$5:$C$14,"")))</f>
        <v/>
      </c>
    </row>
    <row r="37" spans="1:24" s="6" customFormat="1" ht="6" customHeight="1">
      <c r="A37" s="108"/>
      <c r="B37" s="111"/>
      <c r="C37" s="111"/>
      <c r="D37" s="111"/>
      <c r="E37" s="94"/>
      <c r="F37" s="93"/>
      <c r="G37" s="93"/>
      <c r="H37" s="95"/>
      <c r="I37" s="114"/>
      <c r="J37" s="117"/>
      <c r="K37" s="111"/>
      <c r="L37" s="111"/>
      <c r="M37" s="119"/>
      <c r="N37" s="111"/>
      <c r="O37" s="111"/>
      <c r="P37" s="122"/>
      <c r="Q37" s="117"/>
      <c r="R37" s="125"/>
      <c r="S37" s="128"/>
      <c r="T37" s="131"/>
      <c r="U37" s="134"/>
      <c r="V37" s="137"/>
      <c r="W37" s="103"/>
      <c r="X37" s="222"/>
    </row>
    <row r="38" spans="1:24" s="6" customFormat="1" ht="6" customHeight="1">
      <c r="A38" s="108"/>
      <c r="B38" s="111"/>
      <c r="C38" s="111"/>
      <c r="D38" s="111"/>
      <c r="E38" s="94"/>
      <c r="F38" s="93"/>
      <c r="G38" s="93"/>
      <c r="H38" s="95"/>
      <c r="I38" s="114"/>
      <c r="J38" s="105"/>
      <c r="K38" s="111"/>
      <c r="L38" s="111"/>
      <c r="M38" s="119"/>
      <c r="N38" s="111"/>
      <c r="O38" s="111"/>
      <c r="P38" s="122"/>
      <c r="Q38" s="105"/>
      <c r="R38" s="125"/>
      <c r="S38" s="128"/>
      <c r="T38" s="131"/>
      <c r="U38" s="134"/>
      <c r="V38" s="137"/>
      <c r="W38" s="103"/>
      <c r="X38" s="222"/>
    </row>
    <row r="39" spans="1:24" s="6" customFormat="1" ht="6" customHeight="1">
      <c r="A39" s="148"/>
      <c r="B39" s="141"/>
      <c r="C39" s="141"/>
      <c r="D39" s="141"/>
      <c r="E39" s="94"/>
      <c r="F39" s="93"/>
      <c r="G39" s="93"/>
      <c r="H39" s="95"/>
      <c r="I39" s="149"/>
      <c r="J39" s="106"/>
      <c r="K39" s="141"/>
      <c r="L39" s="141"/>
      <c r="M39" s="150"/>
      <c r="N39" s="141"/>
      <c r="O39" s="141"/>
      <c r="P39" s="142"/>
      <c r="Q39" s="106"/>
      <c r="R39" s="143"/>
      <c r="S39" s="144"/>
      <c r="T39" s="145"/>
      <c r="U39" s="146"/>
      <c r="V39" s="147"/>
      <c r="W39" s="104"/>
      <c r="X39" s="223"/>
    </row>
    <row r="40" spans="1:24" s="6" customFormat="1" ht="6" customHeight="1">
      <c r="A40" s="107"/>
      <c r="B40" s="110"/>
      <c r="C40" s="110"/>
      <c r="D40" s="110"/>
      <c r="E40" s="94"/>
      <c r="F40" s="93"/>
      <c r="G40" s="93"/>
      <c r="H40" s="95"/>
      <c r="I40" s="113"/>
      <c r="J40" s="116"/>
      <c r="K40" s="110"/>
      <c r="L40" s="110"/>
      <c r="M40" s="118"/>
      <c r="N40" s="110"/>
      <c r="O40" s="110"/>
      <c r="P40" s="121" t="str">
        <f>IF($O40="","",電線の選定!$E17)</f>
        <v/>
      </c>
      <c r="Q40" s="116"/>
      <c r="R40" s="124" t="str">
        <f>IF($Q42="","",ROUNDDOWN($P40*ラック低減の選定!D13,1))</f>
        <v/>
      </c>
      <c r="S40" s="127" t="str">
        <f>IF(ISERROR(INDEX(電気方式!$C$4:$C$7,MATCH($B40,電気方式!$B$4:$B$7,0)))=TRUE,"",INDEX(電気方式!$C$4:$C$7,MATCH($B40,電気方式!$B$4:$B$7,0)))</f>
        <v/>
      </c>
      <c r="T40" s="130"/>
      <c r="U40" s="133" t="str">
        <f>IF($T40="","",電線の選定!$E47)</f>
        <v/>
      </c>
      <c r="V40" s="136" t="str">
        <f t="shared" ref="V40" si="7">IF($T40="","",IF(MIN($J42,$P40,$R40)&gt;=$D40,(($S40*$M40*$I40*$U40)/1000),""))</f>
        <v/>
      </c>
      <c r="W40" s="102" t="str">
        <f>IF($T40="","",電圧降下の選定!$E13)</f>
        <v/>
      </c>
      <c r="X40" s="221" t="str" cm="1">
        <f t="array" ref="X40">IF($D40="","",MIN(IF(接地線!$B$5:$B$14&gt;=$D40,接地線!$C$5:$C$14,"")))</f>
        <v/>
      </c>
    </row>
    <row r="41" spans="1:24" s="6" customFormat="1" ht="6" customHeight="1">
      <c r="A41" s="108"/>
      <c r="B41" s="111"/>
      <c r="C41" s="111"/>
      <c r="D41" s="111"/>
      <c r="E41" s="94"/>
      <c r="F41" s="93"/>
      <c r="G41" s="93"/>
      <c r="H41" s="95"/>
      <c r="I41" s="114"/>
      <c r="J41" s="117"/>
      <c r="K41" s="111"/>
      <c r="L41" s="111"/>
      <c r="M41" s="119"/>
      <c r="N41" s="111"/>
      <c r="O41" s="111"/>
      <c r="P41" s="122"/>
      <c r="Q41" s="117"/>
      <c r="R41" s="125"/>
      <c r="S41" s="128"/>
      <c r="T41" s="131"/>
      <c r="U41" s="134"/>
      <c r="V41" s="137"/>
      <c r="W41" s="103"/>
      <c r="X41" s="222"/>
    </row>
    <row r="42" spans="1:24" s="6" customFormat="1" ht="6" customHeight="1">
      <c r="A42" s="108"/>
      <c r="B42" s="111"/>
      <c r="C42" s="111"/>
      <c r="D42" s="111"/>
      <c r="E42" s="94"/>
      <c r="F42" s="93"/>
      <c r="G42" s="93"/>
      <c r="H42" s="95"/>
      <c r="I42" s="114"/>
      <c r="J42" s="105"/>
      <c r="K42" s="111"/>
      <c r="L42" s="111"/>
      <c r="M42" s="119"/>
      <c r="N42" s="111"/>
      <c r="O42" s="111"/>
      <c r="P42" s="122"/>
      <c r="Q42" s="105"/>
      <c r="R42" s="125"/>
      <c r="S42" s="128"/>
      <c r="T42" s="131"/>
      <c r="U42" s="134"/>
      <c r="V42" s="137"/>
      <c r="W42" s="103"/>
      <c r="X42" s="222"/>
    </row>
    <row r="43" spans="1:24" s="6" customFormat="1" ht="6" customHeight="1">
      <c r="A43" s="148"/>
      <c r="B43" s="141"/>
      <c r="C43" s="141"/>
      <c r="D43" s="141"/>
      <c r="E43" s="94"/>
      <c r="F43" s="93"/>
      <c r="G43" s="93"/>
      <c r="H43" s="95"/>
      <c r="I43" s="149"/>
      <c r="J43" s="106"/>
      <c r="K43" s="141"/>
      <c r="L43" s="141"/>
      <c r="M43" s="150"/>
      <c r="N43" s="141"/>
      <c r="O43" s="141"/>
      <c r="P43" s="142"/>
      <c r="Q43" s="106"/>
      <c r="R43" s="143"/>
      <c r="S43" s="144"/>
      <c r="T43" s="145"/>
      <c r="U43" s="146"/>
      <c r="V43" s="147"/>
      <c r="W43" s="104"/>
      <c r="X43" s="223"/>
    </row>
    <row r="44" spans="1:24" s="6" customFormat="1" ht="6" customHeight="1">
      <c r="A44" s="107"/>
      <c r="B44" s="110"/>
      <c r="C44" s="110"/>
      <c r="D44" s="110"/>
      <c r="E44" s="94"/>
      <c r="F44" s="93"/>
      <c r="G44" s="93"/>
      <c r="H44" s="95"/>
      <c r="I44" s="113"/>
      <c r="J44" s="116"/>
      <c r="K44" s="110"/>
      <c r="L44" s="110"/>
      <c r="M44" s="118"/>
      <c r="N44" s="110"/>
      <c r="O44" s="110"/>
      <c r="P44" s="121" t="str">
        <f>IF($O44="","",電線の選定!$E18)</f>
        <v/>
      </c>
      <c r="Q44" s="116"/>
      <c r="R44" s="124" t="str">
        <f>IF($Q46="","",ROUNDDOWN($P44*ラック低減の選定!D14,1))</f>
        <v/>
      </c>
      <c r="S44" s="127" t="str">
        <f>IF(ISERROR(INDEX(電気方式!$C$4:$C$7,MATCH($B44,電気方式!$B$4:$B$7,0)))=TRUE,"",INDEX(電気方式!$C$4:$C$7,MATCH($B44,電気方式!$B$4:$B$7,0)))</f>
        <v/>
      </c>
      <c r="T44" s="130"/>
      <c r="U44" s="133" t="str">
        <f>IF($T44="","",電線の選定!$E48)</f>
        <v/>
      </c>
      <c r="V44" s="136" t="str">
        <f t="shared" ref="V44" si="8">IF($T44="","",IF(MIN($J46,$P44,$R44)&gt;=$D44,(($S44*$M44*$I44*$U44)/1000),""))</f>
        <v/>
      </c>
      <c r="W44" s="102" t="str">
        <f>IF($T44="","",電圧降下の選定!$E14)</f>
        <v/>
      </c>
      <c r="X44" s="221" t="str" cm="1">
        <f t="array" ref="X44">IF($D44="","",MIN(IF(接地線!$B$5:$B$14&gt;=$D44,接地線!$C$5:$C$14,"")))</f>
        <v/>
      </c>
    </row>
    <row r="45" spans="1:24" s="6" customFormat="1" ht="6" customHeight="1">
      <c r="A45" s="108"/>
      <c r="B45" s="111"/>
      <c r="C45" s="111"/>
      <c r="D45" s="111"/>
      <c r="E45" s="94"/>
      <c r="F45" s="93"/>
      <c r="G45" s="93"/>
      <c r="H45" s="95"/>
      <c r="I45" s="114"/>
      <c r="J45" s="117"/>
      <c r="K45" s="111"/>
      <c r="L45" s="111"/>
      <c r="M45" s="119"/>
      <c r="N45" s="111"/>
      <c r="O45" s="111"/>
      <c r="P45" s="122"/>
      <c r="Q45" s="117"/>
      <c r="R45" s="125"/>
      <c r="S45" s="128"/>
      <c r="T45" s="131"/>
      <c r="U45" s="134"/>
      <c r="V45" s="137"/>
      <c r="W45" s="103"/>
      <c r="X45" s="222"/>
    </row>
    <row r="46" spans="1:24" s="6" customFormat="1" ht="6" customHeight="1">
      <c r="A46" s="108"/>
      <c r="B46" s="111"/>
      <c r="C46" s="111"/>
      <c r="D46" s="111"/>
      <c r="E46" s="94"/>
      <c r="F46" s="93"/>
      <c r="G46" s="93"/>
      <c r="H46" s="95"/>
      <c r="I46" s="114"/>
      <c r="J46" s="105"/>
      <c r="K46" s="111"/>
      <c r="L46" s="111"/>
      <c r="M46" s="119"/>
      <c r="N46" s="111"/>
      <c r="O46" s="111"/>
      <c r="P46" s="122"/>
      <c r="Q46" s="105"/>
      <c r="R46" s="125"/>
      <c r="S46" s="128"/>
      <c r="T46" s="131"/>
      <c r="U46" s="134"/>
      <c r="V46" s="137"/>
      <c r="W46" s="103"/>
      <c r="X46" s="222"/>
    </row>
    <row r="47" spans="1:24" s="6" customFormat="1" ht="6" customHeight="1">
      <c r="A47" s="148"/>
      <c r="B47" s="141"/>
      <c r="C47" s="141"/>
      <c r="D47" s="141"/>
      <c r="E47" s="94"/>
      <c r="F47" s="93"/>
      <c r="G47" s="93"/>
      <c r="H47" s="95"/>
      <c r="I47" s="149"/>
      <c r="J47" s="106"/>
      <c r="K47" s="141"/>
      <c r="L47" s="141"/>
      <c r="M47" s="150"/>
      <c r="N47" s="141"/>
      <c r="O47" s="141"/>
      <c r="P47" s="142"/>
      <c r="Q47" s="106"/>
      <c r="R47" s="143"/>
      <c r="S47" s="144"/>
      <c r="T47" s="145"/>
      <c r="U47" s="146"/>
      <c r="V47" s="147"/>
      <c r="W47" s="104"/>
      <c r="X47" s="223"/>
    </row>
    <row r="48" spans="1:24" s="6" customFormat="1" ht="6" customHeight="1">
      <c r="A48" s="107"/>
      <c r="B48" s="110"/>
      <c r="C48" s="110"/>
      <c r="D48" s="110"/>
      <c r="E48" s="94"/>
      <c r="F48" s="93"/>
      <c r="G48" s="93"/>
      <c r="H48" s="95"/>
      <c r="I48" s="113"/>
      <c r="J48" s="116"/>
      <c r="K48" s="110"/>
      <c r="L48" s="110"/>
      <c r="M48" s="118"/>
      <c r="N48" s="110"/>
      <c r="O48" s="110"/>
      <c r="P48" s="121" t="str">
        <f>IF($O48="","",電線の選定!$E19)</f>
        <v/>
      </c>
      <c r="Q48" s="116"/>
      <c r="R48" s="124" t="str">
        <f>IF($Q50="","",ROUNDDOWN($P48*ラック低減の選定!D15,1))</f>
        <v/>
      </c>
      <c r="S48" s="127" t="str">
        <f>IF(ISERROR(INDEX(電気方式!$C$4:$C$7,MATCH($B48,電気方式!$B$4:$B$7,0)))=TRUE,"",INDEX(電気方式!$C$4:$C$7,MATCH($B48,電気方式!$B$4:$B$7,0)))</f>
        <v/>
      </c>
      <c r="T48" s="130"/>
      <c r="U48" s="133" t="str">
        <f>IF($T48="","",電線の選定!$E49)</f>
        <v/>
      </c>
      <c r="V48" s="136" t="str">
        <f t="shared" ref="V48" si="9">IF($T48="","",IF(MIN($J50,$P48,$R48)&gt;=$D48,(($S48*$M48*$I48*$U48)/1000),""))</f>
        <v/>
      </c>
      <c r="W48" s="102" t="str">
        <f>IF($T48="","",電圧降下の選定!$E15)</f>
        <v/>
      </c>
      <c r="X48" s="221" t="str" cm="1">
        <f t="array" ref="X48">IF($D48="","",MIN(IF(接地線!$B$5:$B$14&gt;=$D48,接地線!$C$5:$C$14,"")))</f>
        <v/>
      </c>
    </row>
    <row r="49" spans="1:24" s="6" customFormat="1" ht="6" customHeight="1">
      <c r="A49" s="159"/>
      <c r="B49" s="111"/>
      <c r="C49" s="161"/>
      <c r="D49" s="161"/>
      <c r="E49" s="94"/>
      <c r="F49" s="93"/>
      <c r="G49" s="93"/>
      <c r="H49" s="95"/>
      <c r="I49" s="114"/>
      <c r="J49" s="117"/>
      <c r="K49" s="111"/>
      <c r="L49" s="111"/>
      <c r="M49" s="119"/>
      <c r="N49" s="111"/>
      <c r="O49" s="111"/>
      <c r="P49" s="153"/>
      <c r="Q49" s="117"/>
      <c r="R49" s="155"/>
      <c r="S49" s="128"/>
      <c r="T49" s="131"/>
      <c r="U49" s="157"/>
      <c r="V49" s="137"/>
      <c r="W49" s="151"/>
      <c r="X49" s="222"/>
    </row>
    <row r="50" spans="1:24" s="6" customFormat="1" ht="6" customHeight="1">
      <c r="A50" s="159"/>
      <c r="B50" s="111"/>
      <c r="C50" s="161"/>
      <c r="D50" s="161"/>
      <c r="E50" s="94"/>
      <c r="F50" s="93"/>
      <c r="G50" s="93"/>
      <c r="H50" s="95"/>
      <c r="I50" s="114"/>
      <c r="J50" s="105"/>
      <c r="K50" s="111"/>
      <c r="L50" s="111"/>
      <c r="M50" s="119"/>
      <c r="N50" s="111"/>
      <c r="O50" s="111"/>
      <c r="P50" s="153"/>
      <c r="Q50" s="105"/>
      <c r="R50" s="155"/>
      <c r="S50" s="128"/>
      <c r="T50" s="131"/>
      <c r="U50" s="157"/>
      <c r="V50" s="137"/>
      <c r="W50" s="151"/>
      <c r="X50" s="222"/>
    </row>
    <row r="51" spans="1:24" s="6" customFormat="1" ht="6" customHeight="1">
      <c r="A51" s="160"/>
      <c r="B51" s="141"/>
      <c r="C51" s="162"/>
      <c r="D51" s="162"/>
      <c r="E51" s="94"/>
      <c r="F51" s="93"/>
      <c r="G51" s="93"/>
      <c r="H51" s="95"/>
      <c r="I51" s="149"/>
      <c r="J51" s="106"/>
      <c r="K51" s="141"/>
      <c r="L51" s="141"/>
      <c r="M51" s="150"/>
      <c r="N51" s="141"/>
      <c r="O51" s="141"/>
      <c r="P51" s="154"/>
      <c r="Q51" s="106"/>
      <c r="R51" s="156"/>
      <c r="S51" s="144"/>
      <c r="T51" s="145"/>
      <c r="U51" s="158"/>
      <c r="V51" s="147"/>
      <c r="W51" s="152"/>
      <c r="X51" s="223"/>
    </row>
    <row r="52" spans="1:24" s="6" customFormat="1" ht="6" customHeight="1">
      <c r="A52" s="107"/>
      <c r="B52" s="110"/>
      <c r="C52" s="110"/>
      <c r="D52" s="110"/>
      <c r="E52" s="94"/>
      <c r="F52" s="93"/>
      <c r="G52" s="93"/>
      <c r="H52" s="95"/>
      <c r="I52" s="113"/>
      <c r="J52" s="116"/>
      <c r="K52" s="110"/>
      <c r="L52" s="110"/>
      <c r="M52" s="118"/>
      <c r="N52" s="110"/>
      <c r="O52" s="110"/>
      <c r="P52" s="121" t="str">
        <f>IF($O52="","",電線の選定!$E20)</f>
        <v/>
      </c>
      <c r="Q52" s="116"/>
      <c r="R52" s="124" t="str">
        <f>IF($Q54="","",ROUNDDOWN($P52*ラック低減の選定!D16,1))</f>
        <v/>
      </c>
      <c r="S52" s="127" t="str">
        <f>IF(ISERROR(INDEX(電気方式!$C$4:$C$7,MATCH($B52,電気方式!$B$4:$B$7,0)))=TRUE,"",INDEX(電気方式!$C$4:$C$7,MATCH($B52,電気方式!$B$4:$B$7,0)))</f>
        <v/>
      </c>
      <c r="T52" s="130"/>
      <c r="U52" s="133" t="str">
        <f>IF($T52="","",電線の選定!$E50)</f>
        <v/>
      </c>
      <c r="V52" s="136" t="str">
        <f t="shared" ref="V52" si="10">IF($T52="","",IF(MIN($J54,$P52,$R52)&gt;=$D52,(($S52*$M52*$I52*$U52)/1000),""))</f>
        <v/>
      </c>
      <c r="W52" s="102" t="str">
        <f>IF($T52="","",電圧降下の選定!$E16)</f>
        <v/>
      </c>
      <c r="X52" s="221" t="str" cm="1">
        <f t="array" ref="X52">IF($D52="","",MIN(IF(接地線!$B$5:$B$14&gt;=$D52,接地線!$C$5:$C$14,"")))</f>
        <v/>
      </c>
    </row>
    <row r="53" spans="1:24" s="6" customFormat="1" ht="6" customHeight="1">
      <c r="A53" s="108"/>
      <c r="B53" s="111"/>
      <c r="C53" s="111"/>
      <c r="D53" s="111"/>
      <c r="E53" s="94"/>
      <c r="F53" s="93"/>
      <c r="G53" s="93"/>
      <c r="H53" s="95"/>
      <c r="I53" s="114"/>
      <c r="J53" s="117"/>
      <c r="K53" s="111"/>
      <c r="L53" s="111"/>
      <c r="M53" s="119"/>
      <c r="N53" s="111"/>
      <c r="O53" s="111"/>
      <c r="P53" s="122"/>
      <c r="Q53" s="117"/>
      <c r="R53" s="125"/>
      <c r="S53" s="128"/>
      <c r="T53" s="131"/>
      <c r="U53" s="134"/>
      <c r="V53" s="137"/>
      <c r="W53" s="103"/>
      <c r="X53" s="222"/>
    </row>
    <row r="54" spans="1:24" s="6" customFormat="1" ht="6" customHeight="1">
      <c r="A54" s="108"/>
      <c r="B54" s="111"/>
      <c r="C54" s="111"/>
      <c r="D54" s="111"/>
      <c r="E54" s="94"/>
      <c r="F54" s="93"/>
      <c r="G54" s="93"/>
      <c r="H54" s="95"/>
      <c r="I54" s="114"/>
      <c r="J54" s="105"/>
      <c r="K54" s="111"/>
      <c r="L54" s="111"/>
      <c r="M54" s="119"/>
      <c r="N54" s="111"/>
      <c r="O54" s="111"/>
      <c r="P54" s="122"/>
      <c r="Q54" s="105"/>
      <c r="R54" s="125"/>
      <c r="S54" s="128"/>
      <c r="T54" s="131"/>
      <c r="U54" s="134"/>
      <c r="V54" s="137"/>
      <c r="W54" s="103"/>
      <c r="X54" s="222"/>
    </row>
    <row r="55" spans="1:24" s="6" customFormat="1" ht="6" customHeight="1">
      <c r="A55" s="148"/>
      <c r="B55" s="141"/>
      <c r="C55" s="141"/>
      <c r="D55" s="141"/>
      <c r="E55" s="94"/>
      <c r="F55" s="93"/>
      <c r="G55" s="93"/>
      <c r="H55" s="95"/>
      <c r="I55" s="149"/>
      <c r="J55" s="106"/>
      <c r="K55" s="141"/>
      <c r="L55" s="141"/>
      <c r="M55" s="150"/>
      <c r="N55" s="141"/>
      <c r="O55" s="141"/>
      <c r="P55" s="142"/>
      <c r="Q55" s="106"/>
      <c r="R55" s="143"/>
      <c r="S55" s="144"/>
      <c r="T55" s="145"/>
      <c r="U55" s="146"/>
      <c r="V55" s="147"/>
      <c r="W55" s="104"/>
      <c r="X55" s="223"/>
    </row>
    <row r="56" spans="1:24" s="6" customFormat="1" ht="6" customHeight="1">
      <c r="A56" s="107"/>
      <c r="B56" s="110"/>
      <c r="C56" s="110"/>
      <c r="D56" s="110"/>
      <c r="E56" s="94"/>
      <c r="F56" s="93"/>
      <c r="G56" s="93"/>
      <c r="H56" s="95"/>
      <c r="I56" s="113"/>
      <c r="J56" s="116"/>
      <c r="K56" s="110"/>
      <c r="L56" s="110"/>
      <c r="M56" s="118"/>
      <c r="N56" s="110"/>
      <c r="O56" s="110"/>
      <c r="P56" s="121" t="str">
        <f>IF($O56="","",電線の選定!$E21)</f>
        <v/>
      </c>
      <c r="Q56" s="116"/>
      <c r="R56" s="124" t="str">
        <f>IF($Q58="","",ROUNDDOWN($P56*ラック低減の選定!D17,1))</f>
        <v/>
      </c>
      <c r="S56" s="127" t="str">
        <f>IF(ISERROR(INDEX(電気方式!$C$4:$C$7,MATCH($B56,電気方式!$B$4:$B$7,0)))=TRUE,"",INDEX(電気方式!$C$4:$C$7,MATCH($B56,電気方式!$B$4:$B$7,0)))</f>
        <v/>
      </c>
      <c r="T56" s="130"/>
      <c r="U56" s="133" t="str">
        <f>IF($T56="","",電線の選定!$E51)</f>
        <v/>
      </c>
      <c r="V56" s="136" t="str">
        <f t="shared" ref="V56" si="11">IF($T56="","",IF(MIN($J58,$P56,$R56)&gt;=$D56,(($S56*$M56*$I56*$U56)/1000),""))</f>
        <v/>
      </c>
      <c r="W56" s="102" t="str">
        <f>IF($T56="","",電圧降下の選定!$E17)</f>
        <v/>
      </c>
      <c r="X56" s="221" t="str" cm="1">
        <f t="array" ref="X56">IF($D56="","",MIN(IF(接地線!$B$5:$B$14&gt;=$D56,接地線!$C$5:$C$14,"")))</f>
        <v/>
      </c>
    </row>
    <row r="57" spans="1:24" s="6" customFormat="1" ht="6" customHeight="1">
      <c r="A57" s="108"/>
      <c r="B57" s="111"/>
      <c r="C57" s="111"/>
      <c r="D57" s="111"/>
      <c r="E57" s="94"/>
      <c r="F57" s="93"/>
      <c r="G57" s="93"/>
      <c r="H57" s="95"/>
      <c r="I57" s="114"/>
      <c r="J57" s="117"/>
      <c r="K57" s="111"/>
      <c r="L57" s="111"/>
      <c r="M57" s="119"/>
      <c r="N57" s="111"/>
      <c r="O57" s="111"/>
      <c r="P57" s="122"/>
      <c r="Q57" s="117"/>
      <c r="R57" s="125"/>
      <c r="S57" s="128"/>
      <c r="T57" s="131"/>
      <c r="U57" s="134"/>
      <c r="V57" s="137"/>
      <c r="W57" s="103"/>
      <c r="X57" s="222"/>
    </row>
    <row r="58" spans="1:24" s="6" customFormat="1" ht="6" customHeight="1">
      <c r="A58" s="108"/>
      <c r="B58" s="111"/>
      <c r="C58" s="111"/>
      <c r="D58" s="111"/>
      <c r="E58" s="94"/>
      <c r="F58" s="93"/>
      <c r="G58" s="93"/>
      <c r="H58" s="95"/>
      <c r="I58" s="114"/>
      <c r="J58" s="105"/>
      <c r="K58" s="111"/>
      <c r="L58" s="111"/>
      <c r="M58" s="119"/>
      <c r="N58" s="111"/>
      <c r="O58" s="111"/>
      <c r="P58" s="122"/>
      <c r="Q58" s="105"/>
      <c r="R58" s="125"/>
      <c r="S58" s="128"/>
      <c r="T58" s="131"/>
      <c r="U58" s="134"/>
      <c r="V58" s="137"/>
      <c r="W58" s="103"/>
      <c r="X58" s="222"/>
    </row>
    <row r="59" spans="1:24" s="6" customFormat="1" ht="6" customHeight="1">
      <c r="A59" s="148"/>
      <c r="B59" s="141"/>
      <c r="C59" s="141"/>
      <c r="D59" s="141"/>
      <c r="E59" s="94"/>
      <c r="F59" s="93"/>
      <c r="G59" s="93"/>
      <c r="H59" s="95"/>
      <c r="I59" s="149"/>
      <c r="J59" s="106"/>
      <c r="K59" s="141"/>
      <c r="L59" s="141"/>
      <c r="M59" s="150"/>
      <c r="N59" s="141"/>
      <c r="O59" s="141"/>
      <c r="P59" s="142"/>
      <c r="Q59" s="106"/>
      <c r="R59" s="143"/>
      <c r="S59" s="144"/>
      <c r="T59" s="145"/>
      <c r="U59" s="146"/>
      <c r="V59" s="147"/>
      <c r="W59" s="104"/>
      <c r="X59" s="223"/>
    </row>
    <row r="60" spans="1:24" s="6" customFormat="1" ht="6" customHeight="1">
      <c r="A60" s="107"/>
      <c r="B60" s="110"/>
      <c r="C60" s="110"/>
      <c r="D60" s="110"/>
      <c r="E60" s="94"/>
      <c r="F60" s="93"/>
      <c r="G60" s="93"/>
      <c r="H60" s="95"/>
      <c r="I60" s="113"/>
      <c r="J60" s="116"/>
      <c r="K60" s="110"/>
      <c r="L60" s="110"/>
      <c r="M60" s="118"/>
      <c r="N60" s="110"/>
      <c r="O60" s="110"/>
      <c r="P60" s="121" t="str">
        <f>IF($O60="","",電線の選定!$E22)</f>
        <v/>
      </c>
      <c r="Q60" s="116"/>
      <c r="R60" s="124" t="str">
        <f>IF($Q62="","",ROUNDDOWN($P60*ラック低減の選定!D18,1))</f>
        <v/>
      </c>
      <c r="S60" s="127" t="str">
        <f>IF(ISERROR(INDEX(電気方式!$C$4:$C$7,MATCH($B60,電気方式!$B$4:$B$7,0)))=TRUE,"",INDEX(電気方式!$C$4:$C$7,MATCH($B60,電気方式!$B$4:$B$7,0)))</f>
        <v/>
      </c>
      <c r="T60" s="130"/>
      <c r="U60" s="133" t="str">
        <f>IF($T60="","",電線の選定!$E52)</f>
        <v/>
      </c>
      <c r="V60" s="136" t="str">
        <f t="shared" ref="V60" si="12">IF($T60="","",IF(MIN($J62,$P60,$R60)&gt;=$D60,(($S60*$M60*$I60*$U60)/1000),""))</f>
        <v/>
      </c>
      <c r="W60" s="102" t="str">
        <f>IF($T60="","",電圧降下の選定!$E18)</f>
        <v/>
      </c>
      <c r="X60" s="221" t="str" cm="1">
        <f t="array" ref="X60">IF($D60="","",MIN(IF(接地線!$B$5:$B$14&gt;=$D60,接地線!$C$5:$C$14,"")))</f>
        <v/>
      </c>
    </row>
    <row r="61" spans="1:24" s="6" customFormat="1" ht="6" customHeight="1">
      <c r="A61" s="159"/>
      <c r="B61" s="111"/>
      <c r="C61" s="161"/>
      <c r="D61" s="161"/>
      <c r="E61" s="94"/>
      <c r="F61" s="93"/>
      <c r="G61" s="93"/>
      <c r="H61" s="95"/>
      <c r="I61" s="114"/>
      <c r="J61" s="117"/>
      <c r="K61" s="111"/>
      <c r="L61" s="111"/>
      <c r="M61" s="119"/>
      <c r="N61" s="111"/>
      <c r="O61" s="111"/>
      <c r="P61" s="122"/>
      <c r="Q61" s="117"/>
      <c r="R61" s="125"/>
      <c r="S61" s="128"/>
      <c r="T61" s="131"/>
      <c r="U61" s="134"/>
      <c r="V61" s="137"/>
      <c r="W61" s="151"/>
      <c r="X61" s="222"/>
    </row>
    <row r="62" spans="1:24" s="6" customFormat="1" ht="6" customHeight="1">
      <c r="A62" s="159"/>
      <c r="B62" s="111"/>
      <c r="C62" s="161"/>
      <c r="D62" s="161"/>
      <c r="E62" s="94"/>
      <c r="F62" s="93"/>
      <c r="G62" s="93"/>
      <c r="H62" s="95"/>
      <c r="I62" s="114"/>
      <c r="J62" s="105"/>
      <c r="K62" s="111"/>
      <c r="L62" s="111"/>
      <c r="M62" s="119"/>
      <c r="N62" s="111"/>
      <c r="O62" s="111"/>
      <c r="P62" s="122"/>
      <c r="Q62" s="105"/>
      <c r="R62" s="125"/>
      <c r="S62" s="128"/>
      <c r="T62" s="131"/>
      <c r="U62" s="134"/>
      <c r="V62" s="137"/>
      <c r="W62" s="151"/>
      <c r="X62" s="222"/>
    </row>
    <row r="63" spans="1:24" s="6" customFormat="1" ht="6" customHeight="1">
      <c r="A63" s="160"/>
      <c r="B63" s="141"/>
      <c r="C63" s="162"/>
      <c r="D63" s="162"/>
      <c r="E63" s="94"/>
      <c r="F63" s="93"/>
      <c r="G63" s="93"/>
      <c r="H63" s="95"/>
      <c r="I63" s="149"/>
      <c r="J63" s="106"/>
      <c r="K63" s="141"/>
      <c r="L63" s="141"/>
      <c r="M63" s="150"/>
      <c r="N63" s="141"/>
      <c r="O63" s="141"/>
      <c r="P63" s="142"/>
      <c r="Q63" s="106"/>
      <c r="R63" s="143"/>
      <c r="S63" s="144"/>
      <c r="T63" s="145"/>
      <c r="U63" s="146"/>
      <c r="V63" s="147"/>
      <c r="W63" s="152"/>
      <c r="X63" s="223"/>
    </row>
    <row r="64" spans="1:24" s="6" customFormat="1" ht="6" customHeight="1">
      <c r="A64" s="107"/>
      <c r="B64" s="110"/>
      <c r="C64" s="110"/>
      <c r="D64" s="110"/>
      <c r="E64" s="94"/>
      <c r="F64" s="93"/>
      <c r="G64" s="93"/>
      <c r="H64" s="95"/>
      <c r="I64" s="113"/>
      <c r="J64" s="116"/>
      <c r="K64" s="110"/>
      <c r="L64" s="110"/>
      <c r="M64" s="118"/>
      <c r="N64" s="110"/>
      <c r="O64" s="110"/>
      <c r="P64" s="121" t="str">
        <f>IF($O64="","",電線の選定!$E23)</f>
        <v/>
      </c>
      <c r="Q64" s="116"/>
      <c r="R64" s="124" t="str">
        <f>IF($Q66="","",ROUNDDOWN($P64*ラック低減の選定!D19,1))</f>
        <v/>
      </c>
      <c r="S64" s="127" t="str">
        <f>IF(ISERROR(INDEX(電気方式!$C$4:$C$7,MATCH($B64,電気方式!$B$4:$B$7,0)))=TRUE,"",INDEX(電気方式!$C$4:$C$7,MATCH($B64,電気方式!$B$4:$B$7,0)))</f>
        <v/>
      </c>
      <c r="T64" s="130"/>
      <c r="U64" s="133" t="str">
        <f>IF($T64="","",電線の選定!$E53)</f>
        <v/>
      </c>
      <c r="V64" s="136" t="str">
        <f t="shared" ref="V64" si="13">IF($T64="","",IF(MIN($J66,$P64,$R64)&gt;=$D64,(($S64*$M64*$I64*$U64)/1000),""))</f>
        <v/>
      </c>
      <c r="W64" s="102" t="str">
        <f>IF($T64="","",電圧降下の選定!$E19)</f>
        <v/>
      </c>
      <c r="X64" s="221" t="str" cm="1">
        <f t="array" ref="X64">IF($D64="","",MIN(IF(接地線!$B$5:$B$14&gt;=$D64,接地線!$C$5:$C$14,"")))</f>
        <v/>
      </c>
    </row>
    <row r="65" spans="1:24" s="6" customFormat="1" ht="6" customHeight="1">
      <c r="A65" s="108"/>
      <c r="B65" s="111"/>
      <c r="C65" s="111"/>
      <c r="D65" s="111"/>
      <c r="E65" s="94"/>
      <c r="F65" s="93"/>
      <c r="G65" s="93"/>
      <c r="H65" s="95"/>
      <c r="I65" s="114"/>
      <c r="J65" s="117"/>
      <c r="K65" s="111"/>
      <c r="L65" s="111"/>
      <c r="M65" s="119"/>
      <c r="N65" s="163"/>
      <c r="O65" s="111"/>
      <c r="P65" s="122"/>
      <c r="Q65" s="117"/>
      <c r="R65" s="125"/>
      <c r="S65" s="128"/>
      <c r="T65" s="131"/>
      <c r="U65" s="134"/>
      <c r="V65" s="137"/>
      <c r="W65" s="103"/>
      <c r="X65" s="222"/>
    </row>
    <row r="66" spans="1:24" s="6" customFormat="1" ht="6" customHeight="1">
      <c r="A66" s="108"/>
      <c r="B66" s="111"/>
      <c r="C66" s="111"/>
      <c r="D66" s="111"/>
      <c r="E66" s="94"/>
      <c r="F66" s="93"/>
      <c r="G66" s="93"/>
      <c r="H66" s="95"/>
      <c r="I66" s="114"/>
      <c r="J66" s="105"/>
      <c r="K66" s="111"/>
      <c r="L66" s="111"/>
      <c r="M66" s="119"/>
      <c r="N66" s="163"/>
      <c r="O66" s="111"/>
      <c r="P66" s="122"/>
      <c r="Q66" s="105"/>
      <c r="R66" s="125"/>
      <c r="S66" s="128"/>
      <c r="T66" s="131"/>
      <c r="U66" s="134"/>
      <c r="V66" s="137"/>
      <c r="W66" s="103"/>
      <c r="X66" s="222"/>
    </row>
    <row r="67" spans="1:24" s="6" customFormat="1" ht="6" customHeight="1">
      <c r="A67" s="148"/>
      <c r="B67" s="141"/>
      <c r="C67" s="141"/>
      <c r="D67" s="141"/>
      <c r="E67" s="94"/>
      <c r="F67" s="93"/>
      <c r="G67" s="93"/>
      <c r="H67" s="95"/>
      <c r="I67" s="149"/>
      <c r="J67" s="106"/>
      <c r="K67" s="141"/>
      <c r="L67" s="141"/>
      <c r="M67" s="150"/>
      <c r="N67" s="164"/>
      <c r="O67" s="141"/>
      <c r="P67" s="142"/>
      <c r="Q67" s="106"/>
      <c r="R67" s="143"/>
      <c r="S67" s="144"/>
      <c r="T67" s="145"/>
      <c r="U67" s="146"/>
      <c r="V67" s="147"/>
      <c r="W67" s="104"/>
      <c r="X67" s="223"/>
    </row>
    <row r="68" spans="1:24" s="6" customFormat="1" ht="6" customHeight="1">
      <c r="A68" s="107"/>
      <c r="B68" s="110"/>
      <c r="C68" s="110"/>
      <c r="D68" s="110"/>
      <c r="E68" s="94"/>
      <c r="F68" s="93"/>
      <c r="G68" s="93"/>
      <c r="H68" s="95"/>
      <c r="I68" s="113"/>
      <c r="J68" s="116"/>
      <c r="K68" s="110"/>
      <c r="L68" s="110"/>
      <c r="M68" s="118"/>
      <c r="N68" s="110"/>
      <c r="O68" s="110"/>
      <c r="P68" s="121" t="str">
        <f>IF($O68="","",電線の選定!$E24)</f>
        <v/>
      </c>
      <c r="Q68" s="116"/>
      <c r="R68" s="124" t="str">
        <f>IF($Q70="","",ROUNDDOWN($P68*ラック低減の選定!D20,1))</f>
        <v/>
      </c>
      <c r="S68" s="127" t="str">
        <f>IF(ISERROR(INDEX(電気方式!$C$4:$C$7,MATCH($B68,電気方式!$B$4:$B$7,0)))=TRUE,"",INDEX(電気方式!$C$4:$C$7,MATCH($B68,電気方式!$B$4:$B$7,0)))</f>
        <v/>
      </c>
      <c r="T68" s="130"/>
      <c r="U68" s="133" t="str">
        <f>IF($T68="","",電線の選定!$E54)</f>
        <v/>
      </c>
      <c r="V68" s="136" t="str">
        <f t="shared" ref="V68" si="14">IF($T68="","",IF(MIN($J70,$P68,$R68)&gt;=$D68,(($S68*$M68*$I68*$U68)/1000),""))</f>
        <v/>
      </c>
      <c r="W68" s="102" t="str">
        <f>IF($T68="","",電圧降下の選定!$E20)</f>
        <v/>
      </c>
      <c r="X68" s="221" t="str" cm="1">
        <f t="array" ref="X68">IF($D68="","",MIN(IF(接地線!$B$5:$B$14&gt;=$D68,接地線!$C$5:$C$14,"")))</f>
        <v/>
      </c>
    </row>
    <row r="69" spans="1:24" s="6" customFormat="1" ht="6" customHeight="1">
      <c r="A69" s="159"/>
      <c r="B69" s="111"/>
      <c r="C69" s="161"/>
      <c r="D69" s="161"/>
      <c r="E69" s="94"/>
      <c r="F69" s="93"/>
      <c r="G69" s="93"/>
      <c r="H69" s="95"/>
      <c r="I69" s="114"/>
      <c r="J69" s="117"/>
      <c r="K69" s="111"/>
      <c r="L69" s="111"/>
      <c r="M69" s="119"/>
      <c r="N69" s="111"/>
      <c r="O69" s="111"/>
      <c r="P69" s="153"/>
      <c r="Q69" s="117"/>
      <c r="R69" s="155"/>
      <c r="S69" s="128"/>
      <c r="T69" s="131"/>
      <c r="U69" s="134"/>
      <c r="V69" s="137"/>
      <c r="W69" s="151"/>
      <c r="X69" s="222"/>
    </row>
    <row r="70" spans="1:24" s="6" customFormat="1" ht="6" customHeight="1">
      <c r="A70" s="159"/>
      <c r="B70" s="111"/>
      <c r="C70" s="161"/>
      <c r="D70" s="161"/>
      <c r="E70" s="94"/>
      <c r="F70" s="93"/>
      <c r="G70" s="93"/>
      <c r="H70" s="95"/>
      <c r="I70" s="114"/>
      <c r="J70" s="105"/>
      <c r="K70" s="111"/>
      <c r="L70" s="111"/>
      <c r="M70" s="119"/>
      <c r="N70" s="111"/>
      <c r="O70" s="111"/>
      <c r="P70" s="153"/>
      <c r="Q70" s="105"/>
      <c r="R70" s="155"/>
      <c r="S70" s="128"/>
      <c r="T70" s="131"/>
      <c r="U70" s="134"/>
      <c r="V70" s="137"/>
      <c r="W70" s="151"/>
      <c r="X70" s="222"/>
    </row>
    <row r="71" spans="1:24" s="6" customFormat="1" ht="6" customHeight="1">
      <c r="A71" s="160"/>
      <c r="B71" s="141"/>
      <c r="C71" s="162"/>
      <c r="D71" s="162"/>
      <c r="E71" s="94"/>
      <c r="F71" s="93"/>
      <c r="G71" s="93"/>
      <c r="H71" s="95"/>
      <c r="I71" s="149"/>
      <c r="J71" s="106"/>
      <c r="K71" s="141"/>
      <c r="L71" s="141"/>
      <c r="M71" s="150"/>
      <c r="N71" s="141"/>
      <c r="O71" s="141"/>
      <c r="P71" s="154"/>
      <c r="Q71" s="106"/>
      <c r="R71" s="156"/>
      <c r="S71" s="144"/>
      <c r="T71" s="145"/>
      <c r="U71" s="146"/>
      <c r="V71" s="147"/>
      <c r="W71" s="152"/>
      <c r="X71" s="223"/>
    </row>
    <row r="72" spans="1:24" s="6" customFormat="1" ht="6" customHeight="1">
      <c r="A72" s="107"/>
      <c r="B72" s="110"/>
      <c r="C72" s="110"/>
      <c r="D72" s="110"/>
      <c r="E72" s="94"/>
      <c r="F72" s="93"/>
      <c r="G72" s="93"/>
      <c r="H72" s="95"/>
      <c r="I72" s="113"/>
      <c r="J72" s="116"/>
      <c r="K72" s="110"/>
      <c r="L72" s="110"/>
      <c r="M72" s="118"/>
      <c r="N72" s="110"/>
      <c r="O72" s="110"/>
      <c r="P72" s="121" t="str">
        <f>IF($O72="","",電線の選定!$E25)</f>
        <v/>
      </c>
      <c r="Q72" s="116"/>
      <c r="R72" s="124" t="str">
        <f>IF($Q74="","",ROUNDDOWN($P72*ラック低減の選定!D21,1))</f>
        <v/>
      </c>
      <c r="S72" s="127" t="str">
        <f>IF(ISERROR(INDEX(電気方式!$C$4:$C$7,MATCH($B72,電気方式!$B$4:$B$7,0)))=TRUE,"",INDEX(電気方式!$C$4:$C$7,MATCH($B72,電気方式!$B$4:$B$7,0)))</f>
        <v/>
      </c>
      <c r="T72" s="130"/>
      <c r="U72" s="133" t="str">
        <f>IF($T72="","",電線の選定!$E55)</f>
        <v/>
      </c>
      <c r="V72" s="136" t="str">
        <f t="shared" ref="V72" si="15">IF($T72="","",IF(MIN($J74,$P72,$R72)&gt;=$D72,(($S72*$M72*$I72*$U72)/1000),""))</f>
        <v/>
      </c>
      <c r="W72" s="102" t="str">
        <f>IF($T72="","",電圧降下の選定!$E21)</f>
        <v/>
      </c>
      <c r="X72" s="221" t="str" cm="1">
        <f t="array" ref="X72">IF($D72="","",MIN(IF(接地線!$B$5:$B$14&gt;=$D72,接地線!$C$5:$C$14,"")))</f>
        <v/>
      </c>
    </row>
    <row r="73" spans="1:24" s="6" customFormat="1" ht="6" customHeight="1">
      <c r="A73" s="159"/>
      <c r="B73" s="111"/>
      <c r="C73" s="111"/>
      <c r="D73" s="111"/>
      <c r="E73" s="94"/>
      <c r="F73" s="93"/>
      <c r="G73" s="93"/>
      <c r="H73" s="95"/>
      <c r="I73" s="114"/>
      <c r="J73" s="117"/>
      <c r="K73" s="111"/>
      <c r="L73" s="111"/>
      <c r="M73" s="119"/>
      <c r="N73" s="111"/>
      <c r="O73" s="111"/>
      <c r="P73" s="153"/>
      <c r="Q73" s="117"/>
      <c r="R73" s="125"/>
      <c r="S73" s="128"/>
      <c r="T73" s="131"/>
      <c r="U73" s="157"/>
      <c r="V73" s="137"/>
      <c r="W73" s="151"/>
      <c r="X73" s="222"/>
    </row>
    <row r="74" spans="1:24" s="6" customFormat="1" ht="6" customHeight="1">
      <c r="A74" s="159"/>
      <c r="B74" s="111"/>
      <c r="C74" s="111"/>
      <c r="D74" s="111"/>
      <c r="E74" s="94"/>
      <c r="F74" s="93"/>
      <c r="G74" s="93"/>
      <c r="H74" s="95"/>
      <c r="I74" s="114"/>
      <c r="J74" s="105"/>
      <c r="K74" s="111"/>
      <c r="L74" s="111"/>
      <c r="M74" s="119"/>
      <c r="N74" s="111"/>
      <c r="O74" s="111"/>
      <c r="P74" s="153"/>
      <c r="Q74" s="105"/>
      <c r="R74" s="125"/>
      <c r="S74" s="128"/>
      <c r="T74" s="131"/>
      <c r="U74" s="157"/>
      <c r="V74" s="137"/>
      <c r="W74" s="151"/>
      <c r="X74" s="222"/>
    </row>
    <row r="75" spans="1:24" s="6" customFormat="1" ht="6" customHeight="1">
      <c r="A75" s="160"/>
      <c r="B75" s="141"/>
      <c r="C75" s="141"/>
      <c r="D75" s="141"/>
      <c r="E75" s="94"/>
      <c r="F75" s="93"/>
      <c r="G75" s="93"/>
      <c r="H75" s="95"/>
      <c r="I75" s="149"/>
      <c r="J75" s="106"/>
      <c r="K75" s="141"/>
      <c r="L75" s="141"/>
      <c r="M75" s="150"/>
      <c r="N75" s="141"/>
      <c r="O75" s="141"/>
      <c r="P75" s="154"/>
      <c r="Q75" s="106"/>
      <c r="R75" s="143"/>
      <c r="S75" s="144"/>
      <c r="T75" s="145"/>
      <c r="U75" s="158"/>
      <c r="V75" s="147"/>
      <c r="W75" s="152"/>
      <c r="X75" s="223"/>
    </row>
    <row r="76" spans="1:24" s="6" customFormat="1" ht="6" customHeight="1">
      <c r="A76" s="107"/>
      <c r="B76" s="110"/>
      <c r="C76" s="110"/>
      <c r="D76" s="110"/>
      <c r="E76" s="94"/>
      <c r="F76" s="93"/>
      <c r="G76" s="93"/>
      <c r="H76" s="95"/>
      <c r="I76" s="113"/>
      <c r="J76" s="116"/>
      <c r="K76" s="110"/>
      <c r="L76" s="110"/>
      <c r="M76" s="118"/>
      <c r="N76" s="110"/>
      <c r="O76" s="110"/>
      <c r="P76" s="121" t="str">
        <f>IF($O76="","",電線の選定!$E26)</f>
        <v/>
      </c>
      <c r="Q76" s="116"/>
      <c r="R76" s="124" t="str">
        <f>IF($Q78="","",ROUNDDOWN($P76*ラック低減の選定!D22,1))</f>
        <v/>
      </c>
      <c r="S76" s="127" t="str">
        <f>IF(ISERROR(INDEX(電気方式!$C$4:$C$7,MATCH($B76,電気方式!$B$4:$B$7,0)))=TRUE,"",INDEX(電気方式!$C$4:$C$7,MATCH($B76,電気方式!$B$4:$B$7,0)))</f>
        <v/>
      </c>
      <c r="T76" s="130"/>
      <c r="U76" s="133" t="str">
        <f>IF($T76="","",電線の選定!$E56)</f>
        <v/>
      </c>
      <c r="V76" s="136" t="str">
        <f t="shared" ref="V76" si="16">IF($T76="","",IF(MIN($J78,$P76,$R76)&gt;=$D76,(($S76*$M76*$I76*$U76)/1000),""))</f>
        <v/>
      </c>
      <c r="W76" s="102" t="str">
        <f>IF($T76="","",電圧降下の選定!$E22)</f>
        <v/>
      </c>
      <c r="X76" s="221" t="str" cm="1">
        <f t="array" ref="X76">IF($D76="","",MIN(IF(接地線!$B$5:$B$14&gt;=$D76,接地線!$C$5:$C$14,"")))</f>
        <v/>
      </c>
    </row>
    <row r="77" spans="1:24" s="6" customFormat="1" ht="6" customHeight="1">
      <c r="A77" s="159"/>
      <c r="B77" s="111"/>
      <c r="C77" s="111"/>
      <c r="D77" s="111"/>
      <c r="E77" s="94"/>
      <c r="F77" s="93"/>
      <c r="G77" s="93"/>
      <c r="H77" s="95"/>
      <c r="I77" s="114"/>
      <c r="J77" s="117"/>
      <c r="K77" s="111"/>
      <c r="L77" s="111"/>
      <c r="M77" s="119"/>
      <c r="N77" s="111"/>
      <c r="O77" s="111"/>
      <c r="P77" s="153"/>
      <c r="Q77" s="117"/>
      <c r="R77" s="125"/>
      <c r="S77" s="128"/>
      <c r="T77" s="131"/>
      <c r="U77" s="134"/>
      <c r="V77" s="137"/>
      <c r="W77" s="151"/>
      <c r="X77" s="222"/>
    </row>
    <row r="78" spans="1:24" s="6" customFormat="1" ht="6" customHeight="1">
      <c r="A78" s="159"/>
      <c r="B78" s="111"/>
      <c r="C78" s="111"/>
      <c r="D78" s="111"/>
      <c r="E78" s="94"/>
      <c r="F78" s="93"/>
      <c r="G78" s="93"/>
      <c r="H78" s="95"/>
      <c r="I78" s="114"/>
      <c r="J78" s="105"/>
      <c r="K78" s="111"/>
      <c r="L78" s="111"/>
      <c r="M78" s="119"/>
      <c r="N78" s="111"/>
      <c r="O78" s="111"/>
      <c r="P78" s="153"/>
      <c r="Q78" s="105"/>
      <c r="R78" s="125"/>
      <c r="S78" s="128"/>
      <c r="T78" s="131"/>
      <c r="U78" s="134"/>
      <c r="V78" s="137"/>
      <c r="W78" s="151"/>
      <c r="X78" s="222"/>
    </row>
    <row r="79" spans="1:24" s="6" customFormat="1" ht="6" customHeight="1">
      <c r="A79" s="160"/>
      <c r="B79" s="141"/>
      <c r="C79" s="141"/>
      <c r="D79" s="141"/>
      <c r="E79" s="94"/>
      <c r="F79" s="93"/>
      <c r="G79" s="93"/>
      <c r="H79" s="95"/>
      <c r="I79" s="149"/>
      <c r="J79" s="106"/>
      <c r="K79" s="141"/>
      <c r="L79" s="141"/>
      <c r="M79" s="150"/>
      <c r="N79" s="141"/>
      <c r="O79" s="141"/>
      <c r="P79" s="154"/>
      <c r="Q79" s="106"/>
      <c r="R79" s="143"/>
      <c r="S79" s="144"/>
      <c r="T79" s="145"/>
      <c r="U79" s="146"/>
      <c r="V79" s="147"/>
      <c r="W79" s="152"/>
      <c r="X79" s="223"/>
    </row>
    <row r="80" spans="1:24" s="6" customFormat="1" ht="6" customHeight="1">
      <c r="A80" s="107"/>
      <c r="B80" s="110"/>
      <c r="C80" s="110"/>
      <c r="D80" s="110"/>
      <c r="E80" s="94"/>
      <c r="F80" s="93"/>
      <c r="G80" s="93"/>
      <c r="H80" s="95"/>
      <c r="I80" s="113"/>
      <c r="J80" s="116"/>
      <c r="K80" s="110"/>
      <c r="L80" s="110"/>
      <c r="M80" s="118"/>
      <c r="N80" s="110"/>
      <c r="O80" s="110"/>
      <c r="P80" s="121" t="str">
        <f>IF($O80="","",電線の選定!$E27)</f>
        <v/>
      </c>
      <c r="Q80" s="116"/>
      <c r="R80" s="124" t="str">
        <f>IF($Q82="","",ROUNDDOWN($P80*ラック低減の選定!D23,1))</f>
        <v/>
      </c>
      <c r="S80" s="127" t="str">
        <f>IF(ISERROR(INDEX(電気方式!$C$4:$C$7,MATCH($B80,電気方式!$B$4:$B$7,0)))=TRUE,"",INDEX(電気方式!$C$4:$C$7,MATCH($B80,電気方式!$B$4:$B$7,0)))</f>
        <v/>
      </c>
      <c r="T80" s="130"/>
      <c r="U80" s="133" t="str">
        <f>IF($T80="","",電線の選定!$E57)</f>
        <v/>
      </c>
      <c r="V80" s="136" t="str">
        <f t="shared" ref="V80" si="17">IF($T80="","",IF(MIN($J82,$P80,$R80)&gt;=$D80,(($S80*$M80*$I80*$U80)/1000),""))</f>
        <v/>
      </c>
      <c r="W80" s="102" t="str">
        <f>IF($T80="","",電圧降下の選定!$E23)</f>
        <v/>
      </c>
      <c r="X80" s="221" t="str" cm="1">
        <f t="array" ref="X80">IF($D80="","",MIN(IF(接地線!$B$5:$B$14&gt;=$D80,接地線!$C$5:$C$14,"")))</f>
        <v/>
      </c>
    </row>
    <row r="81" spans="1:24" s="6" customFormat="1" ht="6" customHeight="1">
      <c r="A81" s="159"/>
      <c r="B81" s="111"/>
      <c r="C81" s="161"/>
      <c r="D81" s="161"/>
      <c r="E81" s="94"/>
      <c r="F81" s="93"/>
      <c r="G81" s="93"/>
      <c r="H81" s="95"/>
      <c r="I81" s="114"/>
      <c r="J81" s="117"/>
      <c r="K81" s="111"/>
      <c r="L81" s="111"/>
      <c r="M81" s="119"/>
      <c r="N81" s="111"/>
      <c r="O81" s="111"/>
      <c r="P81" s="153"/>
      <c r="Q81" s="117"/>
      <c r="R81" s="155"/>
      <c r="S81" s="128"/>
      <c r="T81" s="131"/>
      <c r="U81" s="157"/>
      <c r="V81" s="137"/>
      <c r="W81" s="151"/>
      <c r="X81" s="222"/>
    </row>
    <row r="82" spans="1:24" s="6" customFormat="1" ht="6" customHeight="1">
      <c r="A82" s="159"/>
      <c r="B82" s="111"/>
      <c r="C82" s="161"/>
      <c r="D82" s="161"/>
      <c r="E82" s="94"/>
      <c r="F82" s="93"/>
      <c r="G82" s="93"/>
      <c r="H82" s="95"/>
      <c r="I82" s="114"/>
      <c r="J82" s="105"/>
      <c r="K82" s="111"/>
      <c r="L82" s="111"/>
      <c r="M82" s="119"/>
      <c r="N82" s="111"/>
      <c r="O82" s="111"/>
      <c r="P82" s="153"/>
      <c r="Q82" s="105"/>
      <c r="R82" s="155"/>
      <c r="S82" s="128"/>
      <c r="T82" s="131"/>
      <c r="U82" s="157"/>
      <c r="V82" s="137"/>
      <c r="W82" s="151"/>
      <c r="X82" s="222"/>
    </row>
    <row r="83" spans="1:24" s="6" customFormat="1" ht="6" customHeight="1">
      <c r="A83" s="160"/>
      <c r="B83" s="141"/>
      <c r="C83" s="162"/>
      <c r="D83" s="162"/>
      <c r="E83" s="94"/>
      <c r="F83" s="93"/>
      <c r="G83" s="93"/>
      <c r="H83" s="95"/>
      <c r="I83" s="149"/>
      <c r="J83" s="106"/>
      <c r="K83" s="141"/>
      <c r="L83" s="141"/>
      <c r="M83" s="150"/>
      <c r="N83" s="141"/>
      <c r="O83" s="141"/>
      <c r="P83" s="154"/>
      <c r="Q83" s="106"/>
      <c r="R83" s="156"/>
      <c r="S83" s="144"/>
      <c r="T83" s="145"/>
      <c r="U83" s="158"/>
      <c r="V83" s="147"/>
      <c r="W83" s="152"/>
      <c r="X83" s="223"/>
    </row>
    <row r="84" spans="1:24" s="6" customFormat="1" ht="6" customHeight="1">
      <c r="A84" s="107"/>
      <c r="B84" s="110"/>
      <c r="C84" s="110"/>
      <c r="D84" s="110"/>
      <c r="E84" s="94"/>
      <c r="F84" s="93"/>
      <c r="G84" s="93"/>
      <c r="H84" s="95"/>
      <c r="I84" s="113"/>
      <c r="J84" s="116"/>
      <c r="K84" s="110"/>
      <c r="L84" s="110"/>
      <c r="M84" s="118"/>
      <c r="N84" s="110"/>
      <c r="O84" s="110"/>
      <c r="P84" s="121" t="str">
        <f>IF($O84="","",電線の選定!$E28)</f>
        <v/>
      </c>
      <c r="Q84" s="116"/>
      <c r="R84" s="124" t="str">
        <f>IF($Q86="","",ROUNDDOWN($P84*ラック低減の選定!D24,1))</f>
        <v/>
      </c>
      <c r="S84" s="127" t="str">
        <f>IF(ISERROR(INDEX(電気方式!$C$4:$C$7,MATCH($B84,電気方式!$B$4:$B$7,0)))=TRUE,"",INDEX(電気方式!$C$4:$C$7,MATCH($B84,電気方式!$B$4:$B$7,0)))</f>
        <v/>
      </c>
      <c r="T84" s="130"/>
      <c r="U84" s="133" t="str">
        <f>IF($T84="","",電線の選定!$E58)</f>
        <v/>
      </c>
      <c r="V84" s="136" t="str">
        <f t="shared" ref="V84" si="18">IF($T84="","",IF(MIN($J86,$P84,$R84)&gt;=$D84,(($S84*$M84*$I84*$U84)/1000),""))</f>
        <v/>
      </c>
      <c r="W84" s="102" t="str">
        <f>IF($T84="","",電圧降下の選定!$E24)</f>
        <v/>
      </c>
      <c r="X84" s="221" t="str" cm="1">
        <f t="array" ref="X84">IF($D84="","",MIN(IF(接地線!$B$5:$B$14&gt;=$D84,接地線!$C$5:$C$14,"")))</f>
        <v/>
      </c>
    </row>
    <row r="85" spans="1:24" s="6" customFormat="1" ht="6" customHeight="1">
      <c r="A85" s="108"/>
      <c r="B85" s="111"/>
      <c r="C85" s="111"/>
      <c r="D85" s="111"/>
      <c r="E85" s="94"/>
      <c r="F85" s="93"/>
      <c r="G85" s="93"/>
      <c r="H85" s="95"/>
      <c r="I85" s="114"/>
      <c r="J85" s="117"/>
      <c r="K85" s="111"/>
      <c r="L85" s="111"/>
      <c r="M85" s="119"/>
      <c r="N85" s="111"/>
      <c r="O85" s="111"/>
      <c r="P85" s="153"/>
      <c r="Q85" s="117"/>
      <c r="R85" s="155"/>
      <c r="S85" s="128"/>
      <c r="T85" s="131"/>
      <c r="U85" s="157"/>
      <c r="V85" s="137"/>
      <c r="W85" s="151"/>
      <c r="X85" s="222"/>
    </row>
    <row r="86" spans="1:24" s="6" customFormat="1" ht="6" customHeight="1">
      <c r="A86" s="108"/>
      <c r="B86" s="111"/>
      <c r="C86" s="111"/>
      <c r="D86" s="111"/>
      <c r="E86" s="94"/>
      <c r="F86" s="93"/>
      <c r="G86" s="93"/>
      <c r="H86" s="95"/>
      <c r="I86" s="114"/>
      <c r="J86" s="105"/>
      <c r="K86" s="111"/>
      <c r="L86" s="111"/>
      <c r="M86" s="119"/>
      <c r="N86" s="111"/>
      <c r="O86" s="111"/>
      <c r="P86" s="153"/>
      <c r="Q86" s="105"/>
      <c r="R86" s="155"/>
      <c r="S86" s="128"/>
      <c r="T86" s="131"/>
      <c r="U86" s="157"/>
      <c r="V86" s="137"/>
      <c r="W86" s="151"/>
      <c r="X86" s="222"/>
    </row>
    <row r="87" spans="1:24" s="6" customFormat="1" ht="6" customHeight="1">
      <c r="A87" s="148"/>
      <c r="B87" s="141"/>
      <c r="C87" s="141"/>
      <c r="D87" s="141"/>
      <c r="E87" s="94"/>
      <c r="F87" s="93"/>
      <c r="G87" s="93"/>
      <c r="H87" s="95"/>
      <c r="I87" s="149"/>
      <c r="J87" s="106"/>
      <c r="K87" s="141"/>
      <c r="L87" s="141"/>
      <c r="M87" s="150"/>
      <c r="N87" s="141"/>
      <c r="O87" s="141"/>
      <c r="P87" s="154"/>
      <c r="Q87" s="106"/>
      <c r="R87" s="156"/>
      <c r="S87" s="144"/>
      <c r="T87" s="145"/>
      <c r="U87" s="158"/>
      <c r="V87" s="147"/>
      <c r="W87" s="152"/>
      <c r="X87" s="223"/>
    </row>
    <row r="88" spans="1:24" s="6" customFormat="1" ht="6" customHeight="1">
      <c r="A88" s="107"/>
      <c r="B88" s="110"/>
      <c r="C88" s="110"/>
      <c r="D88" s="110"/>
      <c r="E88" s="94"/>
      <c r="F88" s="93"/>
      <c r="G88" s="93"/>
      <c r="H88" s="95"/>
      <c r="I88" s="113"/>
      <c r="J88" s="116"/>
      <c r="K88" s="110"/>
      <c r="L88" s="110"/>
      <c r="M88" s="118"/>
      <c r="N88" s="110"/>
      <c r="O88" s="110"/>
      <c r="P88" s="121" t="str">
        <f>IF($O88="","",電線の選定!$E29)</f>
        <v/>
      </c>
      <c r="Q88" s="116"/>
      <c r="R88" s="124" t="str">
        <f>IF($Q90="","",ROUNDDOWN($P88*ラック低減の選定!D25,1))</f>
        <v/>
      </c>
      <c r="S88" s="127" t="str">
        <f>IF(ISERROR(INDEX(電気方式!$C$4:$C$7,MATCH($B88,電気方式!$B$4:$B$7,0)))=TRUE,"",INDEX(電気方式!$C$4:$C$7,MATCH($B88,電気方式!$B$4:$B$7,0)))</f>
        <v/>
      </c>
      <c r="T88" s="130"/>
      <c r="U88" s="133" t="str">
        <f>IF($T88="","",電線の選定!$E59)</f>
        <v/>
      </c>
      <c r="V88" s="136" t="str">
        <f t="shared" ref="V88" si="19">IF($T88="","",IF(MIN($J90,$P88,$R88)&gt;=$D88,(($S88*$M88*$I88*$U88)/1000),""))</f>
        <v/>
      </c>
      <c r="W88" s="102" t="str">
        <f>IF($T88="","",電圧降下の選定!$E25)</f>
        <v/>
      </c>
      <c r="X88" s="221" t="str" cm="1">
        <f t="array" ref="X88">IF($D88="","",MIN(IF(接地線!$B$5:$B$14&gt;=$D88,接地線!$C$5:$C$14,"")))</f>
        <v/>
      </c>
    </row>
    <row r="89" spans="1:24" s="6" customFormat="1" ht="6" customHeight="1">
      <c r="A89" s="108"/>
      <c r="B89" s="111"/>
      <c r="C89" s="111"/>
      <c r="D89" s="111"/>
      <c r="E89" s="94"/>
      <c r="F89" s="93"/>
      <c r="G89" s="93"/>
      <c r="H89" s="95"/>
      <c r="I89" s="114"/>
      <c r="J89" s="117"/>
      <c r="K89" s="111"/>
      <c r="L89" s="111"/>
      <c r="M89" s="119"/>
      <c r="N89" s="111"/>
      <c r="O89" s="111"/>
      <c r="P89" s="122"/>
      <c r="Q89" s="117"/>
      <c r="R89" s="125"/>
      <c r="S89" s="128"/>
      <c r="T89" s="131"/>
      <c r="U89" s="134"/>
      <c r="V89" s="137"/>
      <c r="W89" s="103"/>
      <c r="X89" s="224"/>
    </row>
    <row r="90" spans="1:24" s="6" customFormat="1" ht="6" customHeight="1">
      <c r="A90" s="108"/>
      <c r="B90" s="111"/>
      <c r="C90" s="111"/>
      <c r="D90" s="111"/>
      <c r="E90" s="94"/>
      <c r="F90" s="93"/>
      <c r="G90" s="93"/>
      <c r="H90" s="95"/>
      <c r="I90" s="114"/>
      <c r="J90" s="105"/>
      <c r="K90" s="111"/>
      <c r="L90" s="111"/>
      <c r="M90" s="119"/>
      <c r="N90" s="111"/>
      <c r="O90" s="111"/>
      <c r="P90" s="122"/>
      <c r="Q90" s="105"/>
      <c r="R90" s="125"/>
      <c r="S90" s="128"/>
      <c r="T90" s="131"/>
      <c r="U90" s="134"/>
      <c r="V90" s="137"/>
      <c r="W90" s="103"/>
      <c r="X90" s="224"/>
    </row>
    <row r="91" spans="1:24" s="6" customFormat="1" ht="6" customHeight="1">
      <c r="A91" s="148"/>
      <c r="B91" s="141"/>
      <c r="C91" s="141"/>
      <c r="D91" s="141"/>
      <c r="E91" s="94"/>
      <c r="F91" s="93"/>
      <c r="G91" s="93"/>
      <c r="H91" s="95"/>
      <c r="I91" s="149"/>
      <c r="J91" s="106"/>
      <c r="K91" s="141"/>
      <c r="L91" s="141"/>
      <c r="M91" s="150"/>
      <c r="N91" s="141"/>
      <c r="O91" s="141"/>
      <c r="P91" s="142"/>
      <c r="Q91" s="106"/>
      <c r="R91" s="143"/>
      <c r="S91" s="144"/>
      <c r="T91" s="145"/>
      <c r="U91" s="146"/>
      <c r="V91" s="147"/>
      <c r="W91" s="104"/>
      <c r="X91" s="225"/>
    </row>
    <row r="92" spans="1:24" s="6" customFormat="1" ht="6" customHeight="1">
      <c r="A92" s="107"/>
      <c r="B92" s="110"/>
      <c r="C92" s="110"/>
      <c r="D92" s="110"/>
      <c r="E92" s="94"/>
      <c r="F92" s="93"/>
      <c r="G92" s="93"/>
      <c r="H92" s="95"/>
      <c r="I92" s="113"/>
      <c r="J92" s="116"/>
      <c r="K92" s="110"/>
      <c r="L92" s="110"/>
      <c r="M92" s="118"/>
      <c r="N92" s="110"/>
      <c r="O92" s="110"/>
      <c r="P92" s="121" t="str">
        <f>IF($O92="","",電線の選定!$E30)</f>
        <v/>
      </c>
      <c r="Q92" s="116"/>
      <c r="R92" s="124" t="str">
        <f>IF($Q94="","",ROUNDDOWN($P92*ラック低減の選定!D26,1))</f>
        <v/>
      </c>
      <c r="S92" s="127" t="str">
        <f>IF(ISERROR(INDEX(電気方式!$C$4:$C$7,MATCH($B92,電気方式!$B$4:$B$7,0)))=TRUE,"",INDEX(電気方式!$C$4:$C$7,MATCH($B92,電気方式!$B$4:$B$7,0)))</f>
        <v/>
      </c>
      <c r="T92" s="130"/>
      <c r="U92" s="133" t="str">
        <f>IF($T92="","",電線の選定!$E60)</f>
        <v/>
      </c>
      <c r="V92" s="136" t="str">
        <f t="shared" ref="V92" si="20">IF($T92="","",IF(MIN($J94,$P92,$R92)&gt;=$D92,(($S92*$M92*$I92*$U92)/1000),""))</f>
        <v/>
      </c>
      <c r="W92" s="102" t="str">
        <f>IF($T92="","",電圧降下の選定!$E26)</f>
        <v/>
      </c>
      <c r="X92" s="221" t="str" cm="1">
        <f t="array" ref="X92">IF($D92="","",MIN(IF(接地線!$B$5:$B$14&gt;=$D92,接地線!$C$5:$C$14,"")))</f>
        <v/>
      </c>
    </row>
    <row r="93" spans="1:24" s="6" customFormat="1" ht="6" customHeight="1">
      <c r="A93" s="108"/>
      <c r="B93" s="111"/>
      <c r="C93" s="111"/>
      <c r="D93" s="111"/>
      <c r="E93" s="94"/>
      <c r="F93" s="93"/>
      <c r="G93" s="93"/>
      <c r="H93" s="95"/>
      <c r="I93" s="114"/>
      <c r="J93" s="117"/>
      <c r="K93" s="111"/>
      <c r="L93" s="111"/>
      <c r="M93" s="119"/>
      <c r="N93" s="111"/>
      <c r="O93" s="111"/>
      <c r="P93" s="122"/>
      <c r="Q93" s="117"/>
      <c r="R93" s="125"/>
      <c r="S93" s="128"/>
      <c r="T93" s="131"/>
      <c r="U93" s="134"/>
      <c r="V93" s="137"/>
      <c r="W93" s="103"/>
      <c r="X93" s="222"/>
    </row>
    <row r="94" spans="1:24" s="6" customFormat="1" ht="6" customHeight="1">
      <c r="A94" s="108"/>
      <c r="B94" s="111"/>
      <c r="C94" s="111"/>
      <c r="D94" s="111"/>
      <c r="E94" s="94"/>
      <c r="F94" s="93"/>
      <c r="G94" s="93"/>
      <c r="H94" s="95"/>
      <c r="I94" s="114"/>
      <c r="J94" s="105"/>
      <c r="K94" s="111"/>
      <c r="L94" s="111"/>
      <c r="M94" s="119"/>
      <c r="N94" s="111"/>
      <c r="O94" s="111"/>
      <c r="P94" s="122"/>
      <c r="Q94" s="105"/>
      <c r="R94" s="125"/>
      <c r="S94" s="128"/>
      <c r="T94" s="131"/>
      <c r="U94" s="134"/>
      <c r="V94" s="137"/>
      <c r="W94" s="103"/>
      <c r="X94" s="222"/>
    </row>
    <row r="95" spans="1:24" s="6" customFormat="1" ht="6" customHeight="1" thickBot="1">
      <c r="A95" s="109"/>
      <c r="B95" s="112"/>
      <c r="C95" s="112"/>
      <c r="D95" s="112"/>
      <c r="E95" s="96"/>
      <c r="F95" s="97"/>
      <c r="G95" s="97"/>
      <c r="H95" s="98"/>
      <c r="I95" s="115"/>
      <c r="J95" s="140"/>
      <c r="K95" s="112"/>
      <c r="L95" s="112"/>
      <c r="M95" s="120"/>
      <c r="N95" s="112"/>
      <c r="O95" s="112"/>
      <c r="P95" s="123"/>
      <c r="Q95" s="140"/>
      <c r="R95" s="126"/>
      <c r="S95" s="129"/>
      <c r="T95" s="132"/>
      <c r="U95" s="135"/>
      <c r="V95" s="138"/>
      <c r="W95" s="139"/>
      <c r="X95" s="226"/>
    </row>
    <row r="96" spans="1:24" s="3" customFormat="1" ht="15" customHeight="1">
      <c r="A96" s="8" t="s">
        <v>281</v>
      </c>
      <c r="B96" s="10"/>
      <c r="C96" s="10"/>
      <c r="D96" s="10"/>
      <c r="E96" s="10"/>
      <c r="F96" s="10"/>
      <c r="G96" s="10"/>
      <c r="H96" s="10"/>
      <c r="I96" s="10"/>
      <c r="K96" s="10"/>
      <c r="L96" s="10"/>
      <c r="M96" s="10"/>
      <c r="N96" s="8"/>
      <c r="O96" s="8"/>
      <c r="P96" s="8"/>
      <c r="Q96" s="8"/>
      <c r="R96" s="8"/>
      <c r="S96" s="10"/>
      <c r="T96" s="10"/>
      <c r="U96" s="8"/>
      <c r="V96" s="22"/>
      <c r="X96" s="22"/>
    </row>
    <row r="97" spans="2:20">
      <c r="B97" s="11"/>
      <c r="C97" s="11"/>
      <c r="D97" s="11"/>
      <c r="E97" s="11"/>
      <c r="F97" s="11"/>
      <c r="G97" s="11"/>
      <c r="H97" s="11"/>
      <c r="I97" s="11"/>
      <c r="K97" s="11"/>
      <c r="L97" s="11"/>
      <c r="M97" s="11"/>
      <c r="S97" s="11"/>
      <c r="T97" s="11"/>
    </row>
    <row r="98" spans="2:20">
      <c r="B98" s="11"/>
      <c r="C98" s="11"/>
      <c r="D98" s="11"/>
      <c r="E98" s="11"/>
      <c r="F98" s="11"/>
      <c r="G98" s="11"/>
      <c r="H98" s="11"/>
      <c r="I98" s="11"/>
      <c r="K98" s="11"/>
      <c r="L98" s="11"/>
      <c r="M98" s="11"/>
      <c r="S98" s="11"/>
      <c r="T98" s="11"/>
    </row>
    <row r="99" spans="2:20">
      <c r="B99" s="11"/>
      <c r="C99" s="11"/>
      <c r="D99" s="11"/>
      <c r="E99" s="11"/>
      <c r="F99" s="11"/>
      <c r="G99" s="11"/>
      <c r="H99" s="11"/>
      <c r="I99" s="11"/>
      <c r="K99" s="11"/>
      <c r="L99" s="11"/>
      <c r="M99" s="11"/>
      <c r="S99" s="11"/>
      <c r="T99" s="11"/>
    </row>
    <row r="100" spans="2:20">
      <c r="B100" s="11"/>
      <c r="C100" s="11"/>
      <c r="D100" s="11"/>
      <c r="E100" s="11"/>
      <c r="F100" s="11"/>
      <c r="G100" s="11"/>
      <c r="H100" s="11"/>
      <c r="I100" s="11"/>
      <c r="K100" s="11"/>
      <c r="L100" s="11"/>
      <c r="M100" s="11"/>
      <c r="S100" s="11"/>
      <c r="T100" s="11"/>
    </row>
  </sheetData>
  <sheetProtection sheet="1" objects="1" scenarios="1"/>
  <mergeCells count="514">
    <mergeCell ref="X84:X87"/>
    <mergeCell ref="X88:X91"/>
    <mergeCell ref="X92:X95"/>
    <mergeCell ref="X4:X6"/>
    <mergeCell ref="X8:X11"/>
    <mergeCell ref="X12:X15"/>
    <mergeCell ref="X16:X19"/>
    <mergeCell ref="X20:X23"/>
    <mergeCell ref="X24:X27"/>
    <mergeCell ref="X28:X31"/>
    <mergeCell ref="X32:X35"/>
    <mergeCell ref="X36:X39"/>
    <mergeCell ref="X40:X43"/>
    <mergeCell ref="X44:X47"/>
    <mergeCell ref="X48:X51"/>
    <mergeCell ref="X52:X55"/>
    <mergeCell ref="X56:X59"/>
    <mergeCell ref="X60:X63"/>
    <mergeCell ref="X64:X67"/>
    <mergeCell ref="X68:X71"/>
    <mergeCell ref="X72:X75"/>
    <mergeCell ref="X76:X79"/>
    <mergeCell ref="X80:X83"/>
    <mergeCell ref="Q94:Q95"/>
    <mergeCell ref="Q62:Q63"/>
    <mergeCell ref="Q64:Q65"/>
    <mergeCell ref="Q66:Q67"/>
    <mergeCell ref="Q68:Q69"/>
    <mergeCell ref="Q70:Q71"/>
    <mergeCell ref="Q72:Q73"/>
    <mergeCell ref="Q74:Q75"/>
    <mergeCell ref="Q76:Q77"/>
    <mergeCell ref="Q78:Q79"/>
    <mergeCell ref="Q54:Q55"/>
    <mergeCell ref="Q56:Q57"/>
    <mergeCell ref="Q58:Q59"/>
    <mergeCell ref="Q60:Q61"/>
    <mergeCell ref="Q84:Q85"/>
    <mergeCell ref="Q86:Q87"/>
    <mergeCell ref="Q88:Q89"/>
    <mergeCell ref="Q90:Q91"/>
    <mergeCell ref="Q92:Q93"/>
    <mergeCell ref="Q34:Q35"/>
    <mergeCell ref="Q36:Q37"/>
    <mergeCell ref="Q38:Q39"/>
    <mergeCell ref="Q40:Q41"/>
    <mergeCell ref="Q44:Q45"/>
    <mergeCell ref="Q46:Q47"/>
    <mergeCell ref="Q48:Q49"/>
    <mergeCell ref="Q50:Q51"/>
    <mergeCell ref="Q52:Q53"/>
    <mergeCell ref="L3:N3"/>
    <mergeCell ref="O3:P3"/>
    <mergeCell ref="B3:C3"/>
    <mergeCell ref="A4:D4"/>
    <mergeCell ref="K4:M4"/>
    <mergeCell ref="N4:R4"/>
    <mergeCell ref="S4:V4"/>
    <mergeCell ref="Q5:R5"/>
    <mergeCell ref="W4:W6"/>
    <mergeCell ref="A5:A7"/>
    <mergeCell ref="B5:B7"/>
    <mergeCell ref="C5:C6"/>
    <mergeCell ref="D5:D6"/>
    <mergeCell ref="K5:K7"/>
    <mergeCell ref="L5:L6"/>
    <mergeCell ref="M5:M6"/>
    <mergeCell ref="N5:N6"/>
    <mergeCell ref="O5:O7"/>
    <mergeCell ref="P5:P6"/>
    <mergeCell ref="S5:S6"/>
    <mergeCell ref="T5:T6"/>
    <mergeCell ref="U5:U6"/>
    <mergeCell ref="V5:V6"/>
    <mergeCell ref="Q6:Q7"/>
    <mergeCell ref="D3:I3"/>
    <mergeCell ref="J3:K3"/>
    <mergeCell ref="A8:A11"/>
    <mergeCell ref="B8:B11"/>
    <mergeCell ref="C8:C11"/>
    <mergeCell ref="D8:D11"/>
    <mergeCell ref="I8:I11"/>
    <mergeCell ref="J8:J9"/>
    <mergeCell ref="K8:K11"/>
    <mergeCell ref="I5:I6"/>
    <mergeCell ref="E4:J4"/>
    <mergeCell ref="E5:H7"/>
    <mergeCell ref="U8:U11"/>
    <mergeCell ref="V8:V11"/>
    <mergeCell ref="W8:W11"/>
    <mergeCell ref="A12:A15"/>
    <mergeCell ref="B12:B15"/>
    <mergeCell ref="C12:C15"/>
    <mergeCell ref="D12:D15"/>
    <mergeCell ref="I12:I15"/>
    <mergeCell ref="J12:J13"/>
    <mergeCell ref="K12:K15"/>
    <mergeCell ref="L12:L15"/>
    <mergeCell ref="M12:M15"/>
    <mergeCell ref="L8:L11"/>
    <mergeCell ref="M8:M11"/>
    <mergeCell ref="J10:J11"/>
    <mergeCell ref="O8:O11"/>
    <mergeCell ref="P8:P11"/>
    <mergeCell ref="R8:R11"/>
    <mergeCell ref="S8:S11"/>
    <mergeCell ref="T8:T11"/>
    <mergeCell ref="Q8:Q9"/>
    <mergeCell ref="Q10:Q11"/>
    <mergeCell ref="Q12:Q13"/>
    <mergeCell ref="N8:N11"/>
    <mergeCell ref="M20:M23"/>
    <mergeCell ref="J22:J23"/>
    <mergeCell ref="U12:U15"/>
    <mergeCell ref="P20:P23"/>
    <mergeCell ref="R20:R23"/>
    <mergeCell ref="S20:S23"/>
    <mergeCell ref="T20:T23"/>
    <mergeCell ref="U20:U23"/>
    <mergeCell ref="Q14:Q15"/>
    <mergeCell ref="Q16:Q17"/>
    <mergeCell ref="Q18:Q19"/>
    <mergeCell ref="Q20:Q21"/>
    <mergeCell ref="Q22:Q23"/>
    <mergeCell ref="N12:N15"/>
    <mergeCell ref="N16:N19"/>
    <mergeCell ref="N20:N23"/>
    <mergeCell ref="A16:A19"/>
    <mergeCell ref="B16:B19"/>
    <mergeCell ref="C16:C19"/>
    <mergeCell ref="D16:D19"/>
    <mergeCell ref="I16:I19"/>
    <mergeCell ref="J16:J17"/>
    <mergeCell ref="K16:K19"/>
    <mergeCell ref="L16:L19"/>
    <mergeCell ref="M16:M19"/>
    <mergeCell ref="J18:J19"/>
    <mergeCell ref="D20:D23"/>
    <mergeCell ref="I20:I23"/>
    <mergeCell ref="J20:J21"/>
    <mergeCell ref="K20:K23"/>
    <mergeCell ref="L20:L23"/>
    <mergeCell ref="O20:O23"/>
    <mergeCell ref="V12:V15"/>
    <mergeCell ref="W12:W15"/>
    <mergeCell ref="J14:J15"/>
    <mergeCell ref="O16:O19"/>
    <mergeCell ref="P16:P19"/>
    <mergeCell ref="R16:R19"/>
    <mergeCell ref="S16:S19"/>
    <mergeCell ref="T16:T19"/>
    <mergeCell ref="U16:U19"/>
    <mergeCell ref="V16:V19"/>
    <mergeCell ref="W16:W19"/>
    <mergeCell ref="O12:O15"/>
    <mergeCell ref="P12:P15"/>
    <mergeCell ref="R12:R15"/>
    <mergeCell ref="S12:S15"/>
    <mergeCell ref="T12:T15"/>
    <mergeCell ref="V20:V23"/>
    <mergeCell ref="W20:W23"/>
    <mergeCell ref="R24:R27"/>
    <mergeCell ref="S24:S27"/>
    <mergeCell ref="T24:T27"/>
    <mergeCell ref="U24:U27"/>
    <mergeCell ref="V24:V27"/>
    <mergeCell ref="A24:A27"/>
    <mergeCell ref="B24:B27"/>
    <mergeCell ref="C24:C27"/>
    <mergeCell ref="D24:D27"/>
    <mergeCell ref="I24:I27"/>
    <mergeCell ref="J24:J25"/>
    <mergeCell ref="K24:K27"/>
    <mergeCell ref="L24:L27"/>
    <mergeCell ref="M24:M27"/>
    <mergeCell ref="N24:N27"/>
    <mergeCell ref="Q24:Q25"/>
    <mergeCell ref="Q26:Q27"/>
    <mergeCell ref="W24:W27"/>
    <mergeCell ref="J26:J27"/>
    <mergeCell ref="O24:O27"/>
    <mergeCell ref="P24:P27"/>
    <mergeCell ref="A20:A23"/>
    <mergeCell ref="B20:B23"/>
    <mergeCell ref="C20:C23"/>
    <mergeCell ref="A28:A31"/>
    <mergeCell ref="B28:B31"/>
    <mergeCell ref="C28:C31"/>
    <mergeCell ref="D28:D31"/>
    <mergeCell ref="I28:I31"/>
    <mergeCell ref="J28:J29"/>
    <mergeCell ref="K28:K31"/>
    <mergeCell ref="L28:L31"/>
    <mergeCell ref="M28:M31"/>
    <mergeCell ref="J30:J31"/>
    <mergeCell ref="O28:O31"/>
    <mergeCell ref="P28:P31"/>
    <mergeCell ref="R28:R31"/>
    <mergeCell ref="S28:S31"/>
    <mergeCell ref="T28:T31"/>
    <mergeCell ref="U28:U31"/>
    <mergeCell ref="V28:V31"/>
    <mergeCell ref="W28:W31"/>
    <mergeCell ref="R32:R35"/>
    <mergeCell ref="S32:S35"/>
    <mergeCell ref="T32:T35"/>
    <mergeCell ref="U32:U35"/>
    <mergeCell ref="V32:V35"/>
    <mergeCell ref="A32:A35"/>
    <mergeCell ref="B32:B35"/>
    <mergeCell ref="C32:C35"/>
    <mergeCell ref="D32:D35"/>
    <mergeCell ref="I32:I35"/>
    <mergeCell ref="J32:J33"/>
    <mergeCell ref="K32:K35"/>
    <mergeCell ref="L32:L35"/>
    <mergeCell ref="M32:M35"/>
    <mergeCell ref="W32:W35"/>
    <mergeCell ref="J34:J35"/>
    <mergeCell ref="O32:O35"/>
    <mergeCell ref="P32:P35"/>
    <mergeCell ref="N28:N31"/>
    <mergeCell ref="N32:N35"/>
    <mergeCell ref="Q28:Q29"/>
    <mergeCell ref="Q30:Q31"/>
    <mergeCell ref="Q32:Q33"/>
    <mergeCell ref="A36:A39"/>
    <mergeCell ref="B36:B39"/>
    <mergeCell ref="C36:C39"/>
    <mergeCell ref="D36:D39"/>
    <mergeCell ref="I36:I39"/>
    <mergeCell ref="J36:J37"/>
    <mergeCell ref="K36:K39"/>
    <mergeCell ref="L36:L39"/>
    <mergeCell ref="M36:M39"/>
    <mergeCell ref="O36:O39"/>
    <mergeCell ref="P36:P39"/>
    <mergeCell ref="R36:R39"/>
    <mergeCell ref="S36:S39"/>
    <mergeCell ref="T36:T39"/>
    <mergeCell ref="U36:U39"/>
    <mergeCell ref="V36:V39"/>
    <mergeCell ref="W36:W39"/>
    <mergeCell ref="J38:J39"/>
    <mergeCell ref="N36:N39"/>
    <mergeCell ref="R40:R43"/>
    <mergeCell ref="S40:S43"/>
    <mergeCell ref="T40:T43"/>
    <mergeCell ref="U40:U43"/>
    <mergeCell ref="V40:V43"/>
    <mergeCell ref="A40:A43"/>
    <mergeCell ref="B40:B43"/>
    <mergeCell ref="C40:C43"/>
    <mergeCell ref="D40:D43"/>
    <mergeCell ref="I40:I43"/>
    <mergeCell ref="J40:J41"/>
    <mergeCell ref="K40:K43"/>
    <mergeCell ref="L40:L43"/>
    <mergeCell ref="M40:M43"/>
    <mergeCell ref="Q42:Q43"/>
    <mergeCell ref="W40:W43"/>
    <mergeCell ref="J42:J43"/>
    <mergeCell ref="A44:A47"/>
    <mergeCell ref="B44:B47"/>
    <mergeCell ref="C44:C47"/>
    <mergeCell ref="D44:D47"/>
    <mergeCell ref="I44:I47"/>
    <mergeCell ref="J44:J45"/>
    <mergeCell ref="K44:K47"/>
    <mergeCell ref="L44:L47"/>
    <mergeCell ref="M44:M47"/>
    <mergeCell ref="O44:O47"/>
    <mergeCell ref="P44:P47"/>
    <mergeCell ref="R44:R47"/>
    <mergeCell ref="S44:S47"/>
    <mergeCell ref="T44:T47"/>
    <mergeCell ref="U44:U47"/>
    <mergeCell ref="V44:V47"/>
    <mergeCell ref="W44:W47"/>
    <mergeCell ref="J46:J47"/>
    <mergeCell ref="O40:O43"/>
    <mergeCell ref="P40:P43"/>
    <mergeCell ref="N44:N47"/>
    <mergeCell ref="N40:N43"/>
    <mergeCell ref="R48:R51"/>
    <mergeCell ref="S48:S51"/>
    <mergeCell ref="T48:T51"/>
    <mergeCell ref="U48:U51"/>
    <mergeCell ref="V48:V51"/>
    <mergeCell ref="A48:A51"/>
    <mergeCell ref="B48:B51"/>
    <mergeCell ref="C48:C51"/>
    <mergeCell ref="D48:D51"/>
    <mergeCell ref="I48:I51"/>
    <mergeCell ref="J48:J49"/>
    <mergeCell ref="K48:K51"/>
    <mergeCell ref="L48:L51"/>
    <mergeCell ref="M48:M51"/>
    <mergeCell ref="W48:W51"/>
    <mergeCell ref="J50:J51"/>
    <mergeCell ref="A52:A55"/>
    <mergeCell ref="B52:B55"/>
    <mergeCell ref="C52:C55"/>
    <mergeCell ref="D52:D55"/>
    <mergeCell ref="I52:I55"/>
    <mergeCell ref="J52:J53"/>
    <mergeCell ref="K52:K55"/>
    <mergeCell ref="L52:L55"/>
    <mergeCell ref="M52:M55"/>
    <mergeCell ref="O52:O55"/>
    <mergeCell ref="P52:P55"/>
    <mergeCell ref="R52:R55"/>
    <mergeCell ref="S52:S55"/>
    <mergeCell ref="T52:T55"/>
    <mergeCell ref="U52:U55"/>
    <mergeCell ref="V52:V55"/>
    <mergeCell ref="W52:W55"/>
    <mergeCell ref="J54:J55"/>
    <mergeCell ref="O48:O51"/>
    <mergeCell ref="P48:P51"/>
    <mergeCell ref="N48:N51"/>
    <mergeCell ref="N52:N55"/>
    <mergeCell ref="R56:R59"/>
    <mergeCell ref="S56:S59"/>
    <mergeCell ref="T56:T59"/>
    <mergeCell ref="U56:U59"/>
    <mergeCell ref="V56:V59"/>
    <mergeCell ref="A56:A59"/>
    <mergeCell ref="B56:B59"/>
    <mergeCell ref="C56:C59"/>
    <mergeCell ref="D56:D59"/>
    <mergeCell ref="I56:I59"/>
    <mergeCell ref="J56:J57"/>
    <mergeCell ref="K56:K59"/>
    <mergeCell ref="L56:L59"/>
    <mergeCell ref="M56:M59"/>
    <mergeCell ref="W56:W59"/>
    <mergeCell ref="J58:J59"/>
    <mergeCell ref="A60:A63"/>
    <mergeCell ref="B60:B63"/>
    <mergeCell ref="C60:C63"/>
    <mergeCell ref="D60:D63"/>
    <mergeCell ref="I60:I63"/>
    <mergeCell ref="J60:J61"/>
    <mergeCell ref="K60:K63"/>
    <mergeCell ref="L60:L63"/>
    <mergeCell ref="M60:M63"/>
    <mergeCell ref="O60:O63"/>
    <mergeCell ref="P60:P63"/>
    <mergeCell ref="R60:R63"/>
    <mergeCell ref="S60:S63"/>
    <mergeCell ref="T60:T63"/>
    <mergeCell ref="U60:U63"/>
    <mergeCell ref="V60:V63"/>
    <mergeCell ref="W60:W63"/>
    <mergeCell ref="J62:J63"/>
    <mergeCell ref="O56:O59"/>
    <mergeCell ref="P56:P59"/>
    <mergeCell ref="N56:N59"/>
    <mergeCell ref="N60:N63"/>
    <mergeCell ref="R64:R67"/>
    <mergeCell ref="S64:S67"/>
    <mergeCell ref="T64:T67"/>
    <mergeCell ref="U64:U67"/>
    <mergeCell ref="V64:V67"/>
    <mergeCell ref="A64:A67"/>
    <mergeCell ref="B64:B67"/>
    <mergeCell ref="C64:C67"/>
    <mergeCell ref="D64:D67"/>
    <mergeCell ref="I64:I67"/>
    <mergeCell ref="J64:J65"/>
    <mergeCell ref="K64:K67"/>
    <mergeCell ref="L64:L67"/>
    <mergeCell ref="M64:M67"/>
    <mergeCell ref="W64:W67"/>
    <mergeCell ref="J66:J67"/>
    <mergeCell ref="A68:A71"/>
    <mergeCell ref="B68:B71"/>
    <mergeCell ref="C68:C71"/>
    <mergeCell ref="D68:D71"/>
    <mergeCell ref="I68:I71"/>
    <mergeCell ref="J68:J69"/>
    <mergeCell ref="K68:K71"/>
    <mergeCell ref="L68:L71"/>
    <mergeCell ref="M68:M71"/>
    <mergeCell ref="O68:O71"/>
    <mergeCell ref="P68:P71"/>
    <mergeCell ref="R68:R71"/>
    <mergeCell ref="S68:S71"/>
    <mergeCell ref="T68:T71"/>
    <mergeCell ref="U68:U71"/>
    <mergeCell ref="V68:V71"/>
    <mergeCell ref="W68:W71"/>
    <mergeCell ref="J70:J71"/>
    <mergeCell ref="O64:O67"/>
    <mergeCell ref="P64:P67"/>
    <mergeCell ref="N64:N67"/>
    <mergeCell ref="N68:N71"/>
    <mergeCell ref="R72:R75"/>
    <mergeCell ref="S72:S75"/>
    <mergeCell ref="T72:T75"/>
    <mergeCell ref="U72:U75"/>
    <mergeCell ref="V72:V75"/>
    <mergeCell ref="A72:A75"/>
    <mergeCell ref="B72:B75"/>
    <mergeCell ref="C72:C75"/>
    <mergeCell ref="D72:D75"/>
    <mergeCell ref="I72:I75"/>
    <mergeCell ref="J72:J73"/>
    <mergeCell ref="K72:K75"/>
    <mergeCell ref="L72:L75"/>
    <mergeCell ref="M72:M75"/>
    <mergeCell ref="W72:W75"/>
    <mergeCell ref="J74:J75"/>
    <mergeCell ref="A76:A79"/>
    <mergeCell ref="B76:B79"/>
    <mergeCell ref="C76:C79"/>
    <mergeCell ref="D76:D79"/>
    <mergeCell ref="I76:I79"/>
    <mergeCell ref="J76:J77"/>
    <mergeCell ref="K76:K79"/>
    <mergeCell ref="L76:L79"/>
    <mergeCell ref="M76:M79"/>
    <mergeCell ref="O76:O79"/>
    <mergeCell ref="P76:P79"/>
    <mergeCell ref="R76:R79"/>
    <mergeCell ref="S76:S79"/>
    <mergeCell ref="T76:T79"/>
    <mergeCell ref="U76:U79"/>
    <mergeCell ref="V76:V79"/>
    <mergeCell ref="W76:W79"/>
    <mergeCell ref="J78:J79"/>
    <mergeCell ref="O72:O75"/>
    <mergeCell ref="P72:P75"/>
    <mergeCell ref="N72:N75"/>
    <mergeCell ref="N76:N79"/>
    <mergeCell ref="S80:S83"/>
    <mergeCell ref="T80:T83"/>
    <mergeCell ref="U80:U83"/>
    <mergeCell ref="V80:V83"/>
    <mergeCell ref="N80:N83"/>
    <mergeCell ref="A80:A83"/>
    <mergeCell ref="B80:B83"/>
    <mergeCell ref="C80:C83"/>
    <mergeCell ref="D80:D83"/>
    <mergeCell ref="I80:I83"/>
    <mergeCell ref="J80:J81"/>
    <mergeCell ref="K80:K83"/>
    <mergeCell ref="L80:L83"/>
    <mergeCell ref="M80:M83"/>
    <mergeCell ref="Q80:Q81"/>
    <mergeCell ref="Q82:Q83"/>
    <mergeCell ref="W80:W83"/>
    <mergeCell ref="J82:J83"/>
    <mergeCell ref="A84:A87"/>
    <mergeCell ref="B84:B87"/>
    <mergeCell ref="C84:C87"/>
    <mergeCell ref="D84:D87"/>
    <mergeCell ref="I84:I87"/>
    <mergeCell ref="J84:J85"/>
    <mergeCell ref="K84:K87"/>
    <mergeCell ref="L84:L87"/>
    <mergeCell ref="M84:M87"/>
    <mergeCell ref="O84:O87"/>
    <mergeCell ref="P84:P87"/>
    <mergeCell ref="R84:R87"/>
    <mergeCell ref="S84:S87"/>
    <mergeCell ref="T84:T87"/>
    <mergeCell ref="U84:U87"/>
    <mergeCell ref="V84:V87"/>
    <mergeCell ref="W84:W87"/>
    <mergeCell ref="J86:J87"/>
    <mergeCell ref="O80:O83"/>
    <mergeCell ref="P80:P83"/>
    <mergeCell ref="N84:N87"/>
    <mergeCell ref="R80:R83"/>
    <mergeCell ref="R88:R91"/>
    <mergeCell ref="S88:S91"/>
    <mergeCell ref="T88:T91"/>
    <mergeCell ref="U88:U91"/>
    <mergeCell ref="V88:V91"/>
    <mergeCell ref="A88:A91"/>
    <mergeCell ref="B88:B91"/>
    <mergeCell ref="C88:C91"/>
    <mergeCell ref="D88:D91"/>
    <mergeCell ref="I88:I91"/>
    <mergeCell ref="J88:J89"/>
    <mergeCell ref="K88:K91"/>
    <mergeCell ref="L88:L91"/>
    <mergeCell ref="M88:M91"/>
    <mergeCell ref="W88:W91"/>
    <mergeCell ref="J90:J91"/>
    <mergeCell ref="A92:A95"/>
    <mergeCell ref="B92:B95"/>
    <mergeCell ref="C92:C95"/>
    <mergeCell ref="D92:D95"/>
    <mergeCell ref="I92:I95"/>
    <mergeCell ref="J92:J93"/>
    <mergeCell ref="K92:K95"/>
    <mergeCell ref="L92:L95"/>
    <mergeCell ref="M92:M95"/>
    <mergeCell ref="O92:O95"/>
    <mergeCell ref="P92:P95"/>
    <mergeCell ref="R92:R95"/>
    <mergeCell ref="S92:S95"/>
    <mergeCell ref="T92:T95"/>
    <mergeCell ref="U92:U95"/>
    <mergeCell ref="V92:V95"/>
    <mergeCell ref="W92:W95"/>
    <mergeCell ref="J94:J95"/>
    <mergeCell ref="O88:O91"/>
    <mergeCell ref="P88:P91"/>
    <mergeCell ref="N88:N91"/>
    <mergeCell ref="N92:N95"/>
  </mergeCells>
  <phoneticPr fontId="10"/>
  <pageMargins left="0.78740157480314965" right="0.47244094488188981" top="0.55118110236220474" bottom="0.55118110236220474" header="0.51181102362204722" footer="0.51181102362204722"/>
  <pageSetup paperSize="9" scale="83" fitToWidth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3D9E3776-5B89-4A21-A101-27AD814E098A}">
          <x14:formula1>
            <xm:f>電気方式!$B$4:$B$7</xm:f>
          </x14:formula1>
          <xm:sqref>B8:B95</xm:sqref>
        </x14:dataValidation>
        <x14:dataValidation type="list" allowBlank="1" showInputMessage="1" xr:uid="{90F37B6F-86E1-49FB-9A0D-441B400A5F61}">
          <x14:formula1>
            <xm:f>電圧!$B$4:$B$8</xm:f>
          </x14:formula1>
          <xm:sqref>C8:C95</xm:sqref>
        </x14:dataValidation>
        <x14:dataValidation type="list" allowBlank="1" showInputMessage="1" xr:uid="{9E0D0506-99F7-4E29-A02F-9078D733C37F}">
          <x14:formula1>
            <xm:f>主幹器具!$B$5:$B$22</xm:f>
          </x14:formula1>
          <xm:sqref>D8:D95 L8:L95</xm:sqref>
        </x14:dataValidation>
        <x14:dataValidation type="list" allowBlank="1" showInputMessage="1" xr:uid="{D58F2C95-ED90-44D0-A153-99F5E563FBC4}">
          <x14:formula1>
            <xm:f>幹線分岐!$B$5:$B$6</xm:f>
          </x14:formula1>
          <xm:sqref>J8:J9 J12:J13 J16:J17 J20:J21 J24:J25 J28:J29 J32:J33 J36:J37 J40:J41 J44:J45 J48:J49 J52:J53 J56:J57 J60:J61 J64:J65 J68:J69 J72:J73 J76:J77 J80:J81 J84:J85 J88:J89 J92:J93</xm:sqref>
        </x14:dataValidation>
        <x14:dataValidation type="list" allowBlank="1" showInputMessage="1" xr:uid="{523D9C9D-CD24-4166-890F-7202275830D4}">
          <x14:formula1>
            <xm:f>電線の選定!$F$6:$G$6</xm:f>
          </x14:formula1>
          <xm:sqref>O8:O95</xm:sqref>
        </x14:dataValidation>
        <x14:dataValidation type="list" allowBlank="1" showInputMessage="1" xr:uid="{27FCBE93-B7FC-419A-A5D4-707428EAA2C9}">
          <x14:formula1>
            <xm:f>電線の選定!$H$8:$I$8</xm:f>
          </x14:formula1>
          <xm:sqref>J3:K3</xm:sqref>
        </x14:dataValidation>
        <x14:dataValidation type="list" allowBlank="1" showInputMessage="1" xr:uid="{AAD77B97-AADB-4B8D-B394-232BCFEC819E}">
          <x14:formula1>
            <xm:f>電線の選定!$I$38:$K$38</xm:f>
          </x14:formula1>
          <xm:sqref>T8:T95</xm:sqref>
        </x14:dataValidation>
        <x14:dataValidation type="list" allowBlank="1" showInputMessage="1" xr:uid="{919627A4-FC2D-42A3-A9C7-FD4C499F64FC}">
          <x14:formula1>
            <xm:f>電線の選定!$F$35:$G$35</xm:f>
          </x14:formula1>
          <xm:sqref>B3:C3</xm:sqref>
        </x14:dataValidation>
        <x14:dataValidation type="list" allowBlank="1" showInputMessage="1" xr:uid="{1FE15B99-441D-47B3-BB34-1B231582B68E}">
          <x14:formula1>
            <xm:f>電圧降下の選定!$H$4:$I$4</xm:f>
          </x14:formula1>
          <xm:sqref>O3:P3</xm:sqref>
        </x14:dataValidation>
        <x14:dataValidation type="list" allowBlank="1" showInputMessage="1" xr:uid="{2515AED3-3694-4177-8070-BCC624197EE6}">
          <x14:formula1>
            <xm:f>ラック低減の選定!$E$4:$G$4</xm:f>
          </x14:formula1>
          <xm:sqref>Q10:Q11 Q94:Q95 Q90:Q91 Q86:Q87 Q82:Q83 Q78:Q79 Q74:Q75 Q70:Q71 Q66:Q67 Q62:Q63 Q58:Q59 Q54:Q55 Q50:Q51 Q46:Q47 Q42:Q43 Q38:Q39 Q34:Q35 Q30:Q31 Q26:Q27 Q22:Q23 Q18:Q19 Q14:Q15</xm:sqref>
        </x14:dataValidation>
        <x14:dataValidation type="list" allowBlank="1" showInputMessage="1" xr:uid="{21B5661E-3D58-4B17-ACE3-B5FD9E40D12F}">
          <x14:formula1>
            <xm:f>ラック低減!$C$5:$Y$5</xm:f>
          </x14:formula1>
          <xm:sqref>Q8:Q9 Q92:Q93 Q88:Q89 Q84:Q85 Q80:Q81 Q76:Q77 Q72:Q73 Q68:Q69 Q64:Q65 Q60:Q61 Q56:Q57 Q52:Q53 Q48:Q49 Q44:Q45 Q40:Q41 Q36:Q37 Q32:Q33 Q28:Q29 Q24:Q25 Q20:Q21 Q16:Q17 Q12:Q13</xm:sqref>
        </x14:dataValidation>
        <x14:dataValidation type="list" allowBlank="1" showInputMessage="1" xr:uid="{6CFB5AD7-EC25-4E16-9D79-15896D6F72FF}">
          <x14:formula1>
            <xm:f>電線!$B$8:$B$212</xm:f>
          </x14:formula1>
          <xm:sqref>N8:N95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D37F-1693-446B-BAA1-6FEB984C216D}">
  <sheetPr>
    <tabColor rgb="FFFF0000"/>
  </sheetPr>
  <dimension ref="A1"/>
  <sheetViews>
    <sheetView workbookViewId="0"/>
  </sheetViews>
  <sheetFormatPr defaultRowHeight="13.5"/>
  <sheetData/>
  <phoneticPr fontId="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8298-C850-4EA9-96A2-D11AB3C8143E}">
  <dimension ref="B2:N60"/>
  <sheetViews>
    <sheetView workbookViewId="0">
      <selection activeCell="B4" sqref="B4"/>
    </sheetView>
  </sheetViews>
  <sheetFormatPr defaultRowHeight="13.5"/>
  <cols>
    <col min="2" max="14" width="18.625" customWidth="1"/>
    <col min="15" max="20" width="9" customWidth="1"/>
  </cols>
  <sheetData>
    <row r="2" spans="2:9">
      <c r="B2" t="s">
        <v>244</v>
      </c>
    </row>
    <row r="3" spans="2:9">
      <c r="B3" t="s">
        <v>243</v>
      </c>
      <c r="C3" s="39" t="s">
        <v>242</v>
      </c>
      <c r="D3" s="60" t="str">
        <f>IF(電圧降下計算!$J$3="","",電圧降下計算!$J$3)</f>
        <v/>
      </c>
    </row>
    <row r="4" spans="2:9">
      <c r="B4" s="35" t="s">
        <v>256</v>
      </c>
      <c r="C4" s="35" t="s">
        <v>38</v>
      </c>
      <c r="D4" s="35" t="s">
        <v>240</v>
      </c>
      <c r="E4" s="44" t="s">
        <v>41</v>
      </c>
      <c r="F4" s="45"/>
      <c r="G4" s="45"/>
      <c r="H4" s="45"/>
      <c r="I4" s="46"/>
    </row>
    <row r="5" spans="2:9">
      <c r="B5" s="43"/>
      <c r="C5" s="43"/>
      <c r="D5" s="43"/>
      <c r="E5" s="47"/>
      <c r="F5" s="48"/>
      <c r="G5" s="48"/>
      <c r="H5" s="48"/>
      <c r="I5" s="49"/>
    </row>
    <row r="6" spans="2:9">
      <c r="B6" s="43"/>
      <c r="C6" s="43"/>
      <c r="D6" s="43"/>
      <c r="E6" s="35" t="s">
        <v>237</v>
      </c>
      <c r="F6" s="43" t="s">
        <v>211</v>
      </c>
      <c r="G6" s="36" t="s">
        <v>212</v>
      </c>
      <c r="H6" s="40"/>
      <c r="I6" s="37"/>
    </row>
    <row r="7" spans="2:9">
      <c r="B7" s="43"/>
      <c r="C7" s="43"/>
      <c r="D7" s="43"/>
      <c r="E7" s="43"/>
      <c r="F7" s="39" t="s">
        <v>109</v>
      </c>
      <c r="G7" s="35" t="s">
        <v>236</v>
      </c>
      <c r="H7" s="36" t="s">
        <v>109</v>
      </c>
      <c r="I7" s="37"/>
    </row>
    <row r="8" spans="2:9">
      <c r="B8" s="38"/>
      <c r="C8" s="38"/>
      <c r="D8" s="38"/>
      <c r="E8" s="38"/>
      <c r="F8" s="60">
        <v>40</v>
      </c>
      <c r="G8" s="38"/>
      <c r="H8" s="60">
        <v>40</v>
      </c>
      <c r="I8" s="60">
        <v>25</v>
      </c>
    </row>
    <row r="9" spans="2:9">
      <c r="B9" s="39" t="str">
        <f>IF(電圧降下計算!$A8="","",電圧降下計算!$A8)</f>
        <v/>
      </c>
      <c r="C9" s="39" t="str">
        <f>IF(電圧降下計算!$N8="","",電圧降下計算!$N8)</f>
        <v/>
      </c>
      <c r="D9" s="39" t="str">
        <f>IF(電圧降下計算!$O8="","",電圧降下計算!$O8)</f>
        <v/>
      </c>
      <c r="E9" s="60" t="str">
        <f t="shared" ref="E9:E30" si="0">IF(ISERROR(INDEX(F9:G9,MATCH($D9,F$6:G$6,0)))=TRUE,"",INDEX(F9:G9,MATCH($D9,F$6:G$6,0)))</f>
        <v/>
      </c>
      <c r="F9" s="60" t="str">
        <f>IF(ISERROR(INDEX(電線!E$8:E$212,MATCH($C9,電線!$B$8:$B$212,0)))=TRUE,"",INDEX(電線!E$8:E$212,MATCH($C9,電線!$B$8:$B$212,0)))</f>
        <v/>
      </c>
      <c r="G9" s="60" t="str">
        <f t="shared" ref="G9:G30" si="1">IF(ISERROR(INDEX(H9:I9,MATCH($D$3,H$8:I$8,0)))=TRUE,"",INDEX(H9:I9,MATCH($D$3,H$8:I$8,0)))</f>
        <v/>
      </c>
      <c r="H9" s="60" t="str">
        <f>IF(ISERROR(INDEX(電線!C$8:C$212,MATCH($C9,電線!$B$8:$B$212,0)))=TRUE,"",INDEX(電線!C$8:C$212,MATCH($C9,電線!$B$8:$B$212,0)))</f>
        <v/>
      </c>
      <c r="I9" s="60" t="str">
        <f>IF(ISERROR(INDEX(電線!D$8:D$212,MATCH($C9,電線!$B$8:$B$212,0)))=TRUE,"",INDEX(電線!D$8:D$212,MATCH($C9,電線!$B$8:$B$212,0)))</f>
        <v/>
      </c>
    </row>
    <row r="10" spans="2:9">
      <c r="B10" s="39" t="str">
        <f>IF(電圧降下計算!$A12="","",電圧降下計算!$A12)</f>
        <v/>
      </c>
      <c r="C10" s="39" t="str">
        <f>IF(電圧降下計算!$N12="","",電圧降下計算!$N12)</f>
        <v/>
      </c>
      <c r="D10" s="39" t="str">
        <f>IF(電圧降下計算!$O12="","",電圧降下計算!$O12)</f>
        <v/>
      </c>
      <c r="E10" s="60" t="str">
        <f t="shared" si="0"/>
        <v/>
      </c>
      <c r="F10" s="60" t="str">
        <f>IF(ISERROR(INDEX(電線!E$8:E$212,MATCH($C10,電線!$B$8:$B$212,0)))=TRUE,"",INDEX(電線!E$8:E$212,MATCH($C10,電線!$B$8:$B$212,0)))</f>
        <v/>
      </c>
      <c r="G10" s="60" t="str">
        <f t="shared" si="1"/>
        <v/>
      </c>
      <c r="H10" s="60" t="str">
        <f>IF(ISERROR(INDEX(電線!C$8:C$212,MATCH($C10,電線!$B$8:$B$212,0)))=TRUE,"",INDEX(電線!C$8:C$212,MATCH($C10,電線!$B$8:$B$212,0)))</f>
        <v/>
      </c>
      <c r="I10" s="60" t="str">
        <f>IF(ISERROR(INDEX(電線!D$8:D$212,MATCH($C10,電線!$B$8:$B$212,0)))=TRUE,"",INDEX(電線!D$8:D$212,MATCH($C10,電線!$B$8:$B$212,0)))</f>
        <v/>
      </c>
    </row>
    <row r="11" spans="2:9">
      <c r="B11" s="39" t="str">
        <f>IF(電圧降下計算!$A16="","",電圧降下計算!$A16)</f>
        <v/>
      </c>
      <c r="C11" s="39" t="str">
        <f>IF(電圧降下計算!$N16="","",電圧降下計算!$N16)</f>
        <v/>
      </c>
      <c r="D11" s="39" t="str">
        <f>IF(電圧降下計算!$O16="","",電圧降下計算!$O16)</f>
        <v/>
      </c>
      <c r="E11" s="60" t="str">
        <f t="shared" si="0"/>
        <v/>
      </c>
      <c r="F11" s="60" t="str">
        <f>IF(ISERROR(INDEX(電線!E$8:E$212,MATCH($C11,電線!$B$8:$B$212,0)))=TRUE,"",INDEX(電線!E$8:E$212,MATCH($C11,電線!$B$8:$B$212,0)))</f>
        <v/>
      </c>
      <c r="G11" s="60" t="str">
        <f t="shared" si="1"/>
        <v/>
      </c>
      <c r="H11" s="60" t="str">
        <f>IF(ISERROR(INDEX(電線!C$8:C$212,MATCH($C11,電線!$B$8:$B$212,0)))=TRUE,"",INDEX(電線!C$8:C$212,MATCH($C11,電線!$B$8:$B$212,0)))</f>
        <v/>
      </c>
      <c r="I11" s="60" t="str">
        <f>IF(ISERROR(INDEX(電線!D$8:D$212,MATCH($C11,電線!$B$8:$B$212,0)))=TRUE,"",INDEX(電線!D$8:D$212,MATCH($C11,電線!$B$8:$B$212,0)))</f>
        <v/>
      </c>
    </row>
    <row r="12" spans="2:9">
      <c r="B12" s="39" t="str">
        <f>IF(電圧降下計算!$A20="","",電圧降下計算!$A20)</f>
        <v/>
      </c>
      <c r="C12" s="39" t="str">
        <f>IF(電圧降下計算!$N20="","",電圧降下計算!$N20)</f>
        <v/>
      </c>
      <c r="D12" s="39" t="str">
        <f>IF(電圧降下計算!$O20="","",電圧降下計算!$O20)</f>
        <v/>
      </c>
      <c r="E12" s="60" t="str">
        <f t="shared" si="0"/>
        <v/>
      </c>
      <c r="F12" s="60" t="str">
        <f>IF(ISERROR(INDEX(電線!E$8:E$212,MATCH($C12,電線!$B$8:$B$212,0)))=TRUE,"",INDEX(電線!E$8:E$212,MATCH($C12,電線!$B$8:$B$212,0)))</f>
        <v/>
      </c>
      <c r="G12" s="60" t="str">
        <f t="shared" si="1"/>
        <v/>
      </c>
      <c r="H12" s="60" t="str">
        <f>IF(ISERROR(INDEX(電線!C$8:C$212,MATCH($C12,電線!$B$8:$B$212,0)))=TRUE,"",INDEX(電線!C$8:C$212,MATCH($C12,電線!$B$8:$B$212,0)))</f>
        <v/>
      </c>
      <c r="I12" s="60" t="str">
        <f>IF(ISERROR(INDEX(電線!D$8:D$212,MATCH($C12,電線!$B$8:$B$212,0)))=TRUE,"",INDEX(電線!D$8:D$212,MATCH($C12,電線!$B$8:$B$212,0)))</f>
        <v/>
      </c>
    </row>
    <row r="13" spans="2:9">
      <c r="B13" s="39" t="str">
        <f>IF(電圧降下計算!$A24="","",電圧降下計算!$A24)</f>
        <v/>
      </c>
      <c r="C13" s="39" t="str">
        <f>IF(電圧降下計算!$N24="","",電圧降下計算!$N24)</f>
        <v/>
      </c>
      <c r="D13" s="39" t="str">
        <f>IF(電圧降下計算!$O24="","",電圧降下計算!$O24)</f>
        <v/>
      </c>
      <c r="E13" s="60" t="str">
        <f t="shared" si="0"/>
        <v/>
      </c>
      <c r="F13" s="60" t="str">
        <f>IF(ISERROR(INDEX(電線!E$8:E$212,MATCH($C13,電線!$B$8:$B$212,0)))=TRUE,"",INDEX(電線!E$8:E$212,MATCH($C13,電線!$B$8:$B$212,0)))</f>
        <v/>
      </c>
      <c r="G13" s="60" t="str">
        <f t="shared" si="1"/>
        <v/>
      </c>
      <c r="H13" s="60" t="str">
        <f>IF(ISERROR(INDEX(電線!C$8:C$212,MATCH($C13,電線!$B$8:$B$212,0)))=TRUE,"",INDEX(電線!C$8:C$212,MATCH($C13,電線!$B$8:$B$212,0)))</f>
        <v/>
      </c>
      <c r="I13" s="60" t="str">
        <f>IF(ISERROR(INDEX(電線!D$8:D$212,MATCH($C13,電線!$B$8:$B$212,0)))=TRUE,"",INDEX(電線!D$8:D$212,MATCH($C13,電線!$B$8:$B$212,0)))</f>
        <v/>
      </c>
    </row>
    <row r="14" spans="2:9">
      <c r="B14" s="39" t="str">
        <f>IF(電圧降下計算!$A28="","",電圧降下計算!$A28)</f>
        <v/>
      </c>
      <c r="C14" s="39" t="str">
        <f>IF(電圧降下計算!$N28="","",電圧降下計算!$N28)</f>
        <v/>
      </c>
      <c r="D14" s="39" t="str">
        <f>IF(電圧降下計算!$O28="","",電圧降下計算!$O28)</f>
        <v/>
      </c>
      <c r="E14" s="60" t="str">
        <f t="shared" si="0"/>
        <v/>
      </c>
      <c r="F14" s="60" t="str">
        <f>IF(ISERROR(INDEX(電線!E$8:E$212,MATCH($C14,電線!$B$8:$B$212,0)))=TRUE,"",INDEX(電線!E$8:E$212,MATCH($C14,電線!$B$8:$B$212,0)))</f>
        <v/>
      </c>
      <c r="G14" s="60" t="str">
        <f t="shared" si="1"/>
        <v/>
      </c>
      <c r="H14" s="60" t="str">
        <f>IF(ISERROR(INDEX(電線!C$8:C$212,MATCH($C14,電線!$B$8:$B$212,0)))=TRUE,"",INDEX(電線!C$8:C$212,MATCH($C14,電線!$B$8:$B$212,0)))</f>
        <v/>
      </c>
      <c r="I14" s="60" t="str">
        <f>IF(ISERROR(INDEX(電線!D$8:D$212,MATCH($C14,電線!$B$8:$B$212,0)))=TRUE,"",INDEX(電線!D$8:D$212,MATCH($C14,電線!$B$8:$B$212,0)))</f>
        <v/>
      </c>
    </row>
    <row r="15" spans="2:9">
      <c r="B15" s="39" t="str">
        <f>IF(電圧降下計算!$A32="","",電圧降下計算!$A32)</f>
        <v/>
      </c>
      <c r="C15" s="39" t="str">
        <f>IF(電圧降下計算!$N32="","",電圧降下計算!$N32)</f>
        <v/>
      </c>
      <c r="D15" s="39" t="str">
        <f>IF(電圧降下計算!$O32="","",電圧降下計算!$O32)</f>
        <v/>
      </c>
      <c r="E15" s="60" t="str">
        <f t="shared" si="0"/>
        <v/>
      </c>
      <c r="F15" s="60" t="str">
        <f>IF(ISERROR(INDEX(電線!E$8:E$212,MATCH($C15,電線!$B$8:$B$212,0)))=TRUE,"",INDEX(電線!E$8:E$212,MATCH($C15,電線!$B$8:$B$212,0)))</f>
        <v/>
      </c>
      <c r="G15" s="60" t="str">
        <f t="shared" si="1"/>
        <v/>
      </c>
      <c r="H15" s="60" t="str">
        <f>IF(ISERROR(INDEX(電線!C$8:C$212,MATCH($C15,電線!$B$8:$B$212,0)))=TRUE,"",INDEX(電線!C$8:C$212,MATCH($C15,電線!$B$8:$B$212,0)))</f>
        <v/>
      </c>
      <c r="I15" s="60" t="str">
        <f>IF(ISERROR(INDEX(電線!D$8:D$212,MATCH($C15,電線!$B$8:$B$212,0)))=TRUE,"",INDEX(電線!D$8:D$212,MATCH($C15,電線!$B$8:$B$212,0)))</f>
        <v/>
      </c>
    </row>
    <row r="16" spans="2:9">
      <c r="B16" s="39" t="str">
        <f>IF(電圧降下計算!$A36="","",電圧降下計算!$A36)</f>
        <v/>
      </c>
      <c r="C16" s="39" t="str">
        <f>IF(電圧降下計算!$N36="","",電圧降下計算!$N36)</f>
        <v/>
      </c>
      <c r="D16" s="39" t="str">
        <f>IF(電圧降下計算!$O36="","",電圧降下計算!$O36)</f>
        <v/>
      </c>
      <c r="E16" s="60" t="str">
        <f t="shared" si="0"/>
        <v/>
      </c>
      <c r="F16" s="60" t="str">
        <f>IF(ISERROR(INDEX(電線!E$8:E$212,MATCH($C16,電線!$B$8:$B$212,0)))=TRUE,"",INDEX(電線!E$8:E$212,MATCH($C16,電線!$B$8:$B$212,0)))</f>
        <v/>
      </c>
      <c r="G16" s="60" t="str">
        <f t="shared" si="1"/>
        <v/>
      </c>
      <c r="H16" s="60" t="str">
        <f>IF(ISERROR(INDEX(電線!C$8:C$212,MATCH($C16,電線!$B$8:$B$212,0)))=TRUE,"",INDEX(電線!C$8:C$212,MATCH($C16,電線!$B$8:$B$212,0)))</f>
        <v/>
      </c>
      <c r="I16" s="60" t="str">
        <f>IF(ISERROR(INDEX(電線!D$8:D$212,MATCH($C16,電線!$B$8:$B$212,0)))=TRUE,"",INDEX(電線!D$8:D$212,MATCH($C16,電線!$B$8:$B$212,0)))</f>
        <v/>
      </c>
    </row>
    <row r="17" spans="2:9">
      <c r="B17" s="39" t="str">
        <f>IF(電圧降下計算!$A40="","",電圧降下計算!$A40)</f>
        <v/>
      </c>
      <c r="C17" s="39" t="str">
        <f>IF(電圧降下計算!$N40="","",電圧降下計算!$N40)</f>
        <v/>
      </c>
      <c r="D17" s="39" t="str">
        <f>IF(電圧降下計算!$O40="","",電圧降下計算!$O40)</f>
        <v/>
      </c>
      <c r="E17" s="60" t="str">
        <f t="shared" si="0"/>
        <v/>
      </c>
      <c r="F17" s="60" t="str">
        <f>IF(ISERROR(INDEX(電線!E$8:E$212,MATCH($C17,電線!$B$8:$B$212,0)))=TRUE,"",INDEX(電線!E$8:E$212,MATCH($C17,電線!$B$8:$B$212,0)))</f>
        <v/>
      </c>
      <c r="G17" s="60" t="str">
        <f t="shared" si="1"/>
        <v/>
      </c>
      <c r="H17" s="60" t="str">
        <f>IF(ISERROR(INDEX(電線!C$8:C$212,MATCH($C17,電線!$B$8:$B$212,0)))=TRUE,"",INDEX(電線!C$8:C$212,MATCH($C17,電線!$B$8:$B$212,0)))</f>
        <v/>
      </c>
      <c r="I17" s="60" t="str">
        <f>IF(ISERROR(INDEX(電線!D$8:D$212,MATCH($C17,電線!$B$8:$B$212,0)))=TRUE,"",INDEX(電線!D$8:D$212,MATCH($C17,電線!$B$8:$B$212,0)))</f>
        <v/>
      </c>
    </row>
    <row r="18" spans="2:9">
      <c r="B18" s="39" t="str">
        <f>IF(電圧降下計算!$A44="","",電圧降下計算!$A44)</f>
        <v/>
      </c>
      <c r="C18" s="39" t="str">
        <f>IF(電圧降下計算!$N44="","",電圧降下計算!$N44)</f>
        <v/>
      </c>
      <c r="D18" s="39" t="str">
        <f>IF(電圧降下計算!$O44="","",電圧降下計算!$O44)</f>
        <v/>
      </c>
      <c r="E18" s="60" t="str">
        <f t="shared" si="0"/>
        <v/>
      </c>
      <c r="F18" s="60" t="str">
        <f>IF(ISERROR(INDEX(電線!E$8:E$212,MATCH($C18,電線!$B$8:$B$212,0)))=TRUE,"",INDEX(電線!E$8:E$212,MATCH($C18,電線!$B$8:$B$212,0)))</f>
        <v/>
      </c>
      <c r="G18" s="60" t="str">
        <f t="shared" si="1"/>
        <v/>
      </c>
      <c r="H18" s="60" t="str">
        <f>IF(ISERROR(INDEX(電線!C$8:C$212,MATCH($C18,電線!$B$8:$B$212,0)))=TRUE,"",INDEX(電線!C$8:C$212,MATCH($C18,電線!$B$8:$B$212,0)))</f>
        <v/>
      </c>
      <c r="I18" s="60" t="str">
        <f>IF(ISERROR(INDEX(電線!D$8:D$212,MATCH($C18,電線!$B$8:$B$212,0)))=TRUE,"",INDEX(電線!D$8:D$212,MATCH($C18,電線!$B$8:$B$212,0)))</f>
        <v/>
      </c>
    </row>
    <row r="19" spans="2:9">
      <c r="B19" s="39" t="str">
        <f>IF(電圧降下計算!$A48="","",電圧降下計算!$A48)</f>
        <v/>
      </c>
      <c r="C19" s="39" t="str">
        <f>IF(電圧降下計算!$N48="","",電圧降下計算!$N48)</f>
        <v/>
      </c>
      <c r="D19" s="39" t="str">
        <f>IF(電圧降下計算!$O48="","",電圧降下計算!$O48)</f>
        <v/>
      </c>
      <c r="E19" s="60" t="str">
        <f t="shared" si="0"/>
        <v/>
      </c>
      <c r="F19" s="60" t="str">
        <f>IF(ISERROR(INDEX(電線!E$8:E$212,MATCH($C19,電線!$B$8:$B$212,0)))=TRUE,"",INDEX(電線!E$8:E$212,MATCH($C19,電線!$B$8:$B$212,0)))</f>
        <v/>
      </c>
      <c r="G19" s="60" t="str">
        <f t="shared" si="1"/>
        <v/>
      </c>
      <c r="H19" s="60" t="str">
        <f>IF(ISERROR(INDEX(電線!C$8:C$212,MATCH($C19,電線!$B$8:$B$212,0)))=TRUE,"",INDEX(電線!C$8:C$212,MATCH($C19,電線!$B$8:$B$212,0)))</f>
        <v/>
      </c>
      <c r="I19" s="60" t="str">
        <f>IF(ISERROR(INDEX(電線!D$8:D$212,MATCH($C19,電線!$B$8:$B$212,0)))=TRUE,"",INDEX(電線!D$8:D$212,MATCH($C19,電線!$B$8:$B$212,0)))</f>
        <v/>
      </c>
    </row>
    <row r="20" spans="2:9">
      <c r="B20" s="39" t="str">
        <f>IF(電圧降下計算!$A52="","",電圧降下計算!$A52)</f>
        <v/>
      </c>
      <c r="C20" s="39" t="str">
        <f>IF(電圧降下計算!$N52="","",電圧降下計算!$N52)</f>
        <v/>
      </c>
      <c r="D20" s="39" t="str">
        <f>IF(電圧降下計算!$O52="","",電圧降下計算!$O52)</f>
        <v/>
      </c>
      <c r="E20" s="60" t="str">
        <f t="shared" si="0"/>
        <v/>
      </c>
      <c r="F20" s="60" t="str">
        <f>IF(ISERROR(INDEX(電線!E$8:E$212,MATCH($C20,電線!$B$8:$B$212,0)))=TRUE,"",INDEX(電線!E$8:E$212,MATCH($C20,電線!$B$8:$B$212,0)))</f>
        <v/>
      </c>
      <c r="G20" s="60" t="str">
        <f t="shared" si="1"/>
        <v/>
      </c>
      <c r="H20" s="60" t="str">
        <f>IF(ISERROR(INDEX(電線!C$8:C$212,MATCH($C20,電線!$B$8:$B$212,0)))=TRUE,"",INDEX(電線!C$8:C$212,MATCH($C20,電線!$B$8:$B$212,0)))</f>
        <v/>
      </c>
      <c r="I20" s="60" t="str">
        <f>IF(ISERROR(INDEX(電線!D$8:D$212,MATCH($C20,電線!$B$8:$B$212,0)))=TRUE,"",INDEX(電線!D$8:D$212,MATCH($C20,電線!$B$8:$B$212,0)))</f>
        <v/>
      </c>
    </row>
    <row r="21" spans="2:9">
      <c r="B21" s="39" t="str">
        <f>IF(電圧降下計算!$A56="","",電圧降下計算!$A56)</f>
        <v/>
      </c>
      <c r="C21" s="39" t="str">
        <f>IF(電圧降下計算!$N56="","",電圧降下計算!$N56)</f>
        <v/>
      </c>
      <c r="D21" s="39" t="str">
        <f>IF(電圧降下計算!$O56="","",電圧降下計算!$O56)</f>
        <v/>
      </c>
      <c r="E21" s="60" t="str">
        <f t="shared" si="0"/>
        <v/>
      </c>
      <c r="F21" s="60" t="str">
        <f>IF(ISERROR(INDEX(電線!E$8:E$212,MATCH($C21,電線!$B$8:$B$212,0)))=TRUE,"",INDEX(電線!E$8:E$212,MATCH($C21,電線!$B$8:$B$212,0)))</f>
        <v/>
      </c>
      <c r="G21" s="60" t="str">
        <f t="shared" si="1"/>
        <v/>
      </c>
      <c r="H21" s="60" t="str">
        <f>IF(ISERROR(INDEX(電線!C$8:C$212,MATCH($C21,電線!$B$8:$B$212,0)))=TRUE,"",INDEX(電線!C$8:C$212,MATCH($C21,電線!$B$8:$B$212,0)))</f>
        <v/>
      </c>
      <c r="I21" s="60" t="str">
        <f>IF(ISERROR(INDEX(電線!D$8:D$212,MATCH($C21,電線!$B$8:$B$212,0)))=TRUE,"",INDEX(電線!D$8:D$212,MATCH($C21,電線!$B$8:$B$212,0)))</f>
        <v/>
      </c>
    </row>
    <row r="22" spans="2:9">
      <c r="B22" s="39" t="str">
        <f>IF(電圧降下計算!$A60="","",電圧降下計算!$A60)</f>
        <v/>
      </c>
      <c r="C22" s="39" t="str">
        <f>IF(電圧降下計算!$N60="","",電圧降下計算!$N60)</f>
        <v/>
      </c>
      <c r="D22" s="39" t="str">
        <f>IF(電圧降下計算!$O60="","",電圧降下計算!$O60)</f>
        <v/>
      </c>
      <c r="E22" s="60" t="str">
        <f t="shared" si="0"/>
        <v/>
      </c>
      <c r="F22" s="60" t="str">
        <f>IF(ISERROR(INDEX(電線!E$8:E$212,MATCH($C22,電線!$B$8:$B$212,0)))=TRUE,"",INDEX(電線!E$8:E$212,MATCH($C22,電線!$B$8:$B$212,0)))</f>
        <v/>
      </c>
      <c r="G22" s="60" t="str">
        <f t="shared" si="1"/>
        <v/>
      </c>
      <c r="H22" s="60" t="str">
        <f>IF(ISERROR(INDEX(電線!C$8:C$212,MATCH($C22,電線!$B$8:$B$212,0)))=TRUE,"",INDEX(電線!C$8:C$212,MATCH($C22,電線!$B$8:$B$212,0)))</f>
        <v/>
      </c>
      <c r="I22" s="60" t="str">
        <f>IF(ISERROR(INDEX(電線!D$8:D$212,MATCH($C22,電線!$B$8:$B$212,0)))=TRUE,"",INDEX(電線!D$8:D$212,MATCH($C22,電線!$B$8:$B$212,0)))</f>
        <v/>
      </c>
    </row>
    <row r="23" spans="2:9">
      <c r="B23" s="39" t="str">
        <f>IF(電圧降下計算!$A64="","",電圧降下計算!$A64)</f>
        <v/>
      </c>
      <c r="C23" s="39" t="str">
        <f>IF(電圧降下計算!$N64="","",電圧降下計算!$N64)</f>
        <v/>
      </c>
      <c r="D23" s="39" t="str">
        <f>IF(電圧降下計算!$O64="","",電圧降下計算!$O64)</f>
        <v/>
      </c>
      <c r="E23" s="60" t="str">
        <f t="shared" si="0"/>
        <v/>
      </c>
      <c r="F23" s="60" t="str">
        <f>IF(ISERROR(INDEX(電線!E$8:E$212,MATCH($C23,電線!$B$8:$B$212,0)))=TRUE,"",INDEX(電線!E$8:E$212,MATCH($C23,電線!$B$8:$B$212,0)))</f>
        <v/>
      </c>
      <c r="G23" s="60" t="str">
        <f t="shared" si="1"/>
        <v/>
      </c>
      <c r="H23" s="60" t="str">
        <f>IF(ISERROR(INDEX(電線!C$8:C$212,MATCH($C23,電線!$B$8:$B$212,0)))=TRUE,"",INDEX(電線!C$8:C$212,MATCH($C23,電線!$B$8:$B$212,0)))</f>
        <v/>
      </c>
      <c r="I23" s="60" t="str">
        <f>IF(ISERROR(INDEX(電線!D$8:D$212,MATCH($C23,電線!$B$8:$B$212,0)))=TRUE,"",INDEX(電線!D$8:D$212,MATCH($C23,電線!$B$8:$B$212,0)))</f>
        <v/>
      </c>
    </row>
    <row r="24" spans="2:9">
      <c r="B24" s="39" t="str">
        <f>IF(電圧降下計算!$A68="","",電圧降下計算!$A68)</f>
        <v/>
      </c>
      <c r="C24" s="39" t="str">
        <f>IF(電圧降下計算!$N68="","",電圧降下計算!$N68)</f>
        <v/>
      </c>
      <c r="D24" s="39" t="str">
        <f>IF(電圧降下計算!$O68="","",電圧降下計算!$O68)</f>
        <v/>
      </c>
      <c r="E24" s="60" t="str">
        <f t="shared" si="0"/>
        <v/>
      </c>
      <c r="F24" s="60" t="str">
        <f>IF(ISERROR(INDEX(電線!E$8:E$212,MATCH($C24,電線!$B$8:$B$212,0)))=TRUE,"",INDEX(電線!E$8:E$212,MATCH($C24,電線!$B$8:$B$212,0)))</f>
        <v/>
      </c>
      <c r="G24" s="60" t="str">
        <f t="shared" si="1"/>
        <v/>
      </c>
      <c r="H24" s="60" t="str">
        <f>IF(ISERROR(INDEX(電線!C$8:C$212,MATCH($C24,電線!$B$8:$B$212,0)))=TRUE,"",INDEX(電線!C$8:C$212,MATCH($C24,電線!$B$8:$B$212,0)))</f>
        <v/>
      </c>
      <c r="I24" s="60" t="str">
        <f>IF(ISERROR(INDEX(電線!D$8:D$212,MATCH($C24,電線!$B$8:$B$212,0)))=TRUE,"",INDEX(電線!D$8:D$212,MATCH($C24,電線!$B$8:$B$212,0)))</f>
        <v/>
      </c>
    </row>
    <row r="25" spans="2:9">
      <c r="B25" s="39" t="str">
        <f>IF(電圧降下計算!$A72="","",電圧降下計算!$A72)</f>
        <v/>
      </c>
      <c r="C25" s="39" t="str">
        <f>IF(電圧降下計算!$N72="","",電圧降下計算!$N72)</f>
        <v/>
      </c>
      <c r="D25" s="39" t="str">
        <f>IF(電圧降下計算!$O72="","",電圧降下計算!$O72)</f>
        <v/>
      </c>
      <c r="E25" s="60" t="str">
        <f t="shared" si="0"/>
        <v/>
      </c>
      <c r="F25" s="60" t="str">
        <f>IF(ISERROR(INDEX(電線!E$8:E$212,MATCH($C25,電線!$B$8:$B$212,0)))=TRUE,"",INDEX(電線!E$8:E$212,MATCH($C25,電線!$B$8:$B$212,0)))</f>
        <v/>
      </c>
      <c r="G25" s="60" t="str">
        <f t="shared" si="1"/>
        <v/>
      </c>
      <c r="H25" s="60" t="str">
        <f>IF(ISERROR(INDEX(電線!C$8:C$212,MATCH($C25,電線!$B$8:$B$212,0)))=TRUE,"",INDEX(電線!C$8:C$212,MATCH($C25,電線!$B$8:$B$212,0)))</f>
        <v/>
      </c>
      <c r="I25" s="60" t="str">
        <f>IF(ISERROR(INDEX(電線!D$8:D$212,MATCH($C25,電線!$B$8:$B$212,0)))=TRUE,"",INDEX(電線!D$8:D$212,MATCH($C25,電線!$B$8:$B$212,0)))</f>
        <v/>
      </c>
    </row>
    <row r="26" spans="2:9">
      <c r="B26" s="39" t="str">
        <f>IF(電圧降下計算!$A76="","",電圧降下計算!$A76)</f>
        <v/>
      </c>
      <c r="C26" s="39" t="str">
        <f>IF(電圧降下計算!$N76="","",電圧降下計算!$N76)</f>
        <v/>
      </c>
      <c r="D26" s="39" t="str">
        <f>IF(電圧降下計算!$O76="","",電圧降下計算!$O76)</f>
        <v/>
      </c>
      <c r="E26" s="60" t="str">
        <f t="shared" si="0"/>
        <v/>
      </c>
      <c r="F26" s="60" t="str">
        <f>IF(ISERROR(INDEX(電線!E$8:E$212,MATCH($C26,電線!$B$8:$B$212,0)))=TRUE,"",INDEX(電線!E$8:E$212,MATCH($C26,電線!$B$8:$B$212,0)))</f>
        <v/>
      </c>
      <c r="G26" s="60" t="str">
        <f t="shared" si="1"/>
        <v/>
      </c>
      <c r="H26" s="60" t="str">
        <f>IF(ISERROR(INDEX(電線!C$8:C$212,MATCH($C26,電線!$B$8:$B$212,0)))=TRUE,"",INDEX(電線!C$8:C$212,MATCH($C26,電線!$B$8:$B$212,0)))</f>
        <v/>
      </c>
      <c r="I26" s="60" t="str">
        <f>IF(ISERROR(INDEX(電線!D$8:D$212,MATCH($C26,電線!$B$8:$B$212,0)))=TRUE,"",INDEX(電線!D$8:D$212,MATCH($C26,電線!$B$8:$B$212,0)))</f>
        <v/>
      </c>
    </row>
    <row r="27" spans="2:9">
      <c r="B27" s="39" t="str">
        <f>IF(電圧降下計算!$A80="","",電圧降下計算!$A80)</f>
        <v/>
      </c>
      <c r="C27" s="39" t="str">
        <f>IF(電圧降下計算!$N80="","",電圧降下計算!$N80)</f>
        <v/>
      </c>
      <c r="D27" s="39" t="str">
        <f>IF(電圧降下計算!$O80="","",電圧降下計算!$O80)</f>
        <v/>
      </c>
      <c r="E27" s="60" t="str">
        <f t="shared" si="0"/>
        <v/>
      </c>
      <c r="F27" s="60" t="str">
        <f>IF(ISERROR(INDEX(電線!E$8:E$212,MATCH($C27,電線!$B$8:$B$212,0)))=TRUE,"",INDEX(電線!E$8:E$212,MATCH($C27,電線!$B$8:$B$212,0)))</f>
        <v/>
      </c>
      <c r="G27" s="60" t="str">
        <f t="shared" si="1"/>
        <v/>
      </c>
      <c r="H27" s="60" t="str">
        <f>IF(ISERROR(INDEX(電線!C$8:C$212,MATCH($C27,電線!$B$8:$B$212,0)))=TRUE,"",INDEX(電線!C$8:C$212,MATCH($C27,電線!$B$8:$B$212,0)))</f>
        <v/>
      </c>
      <c r="I27" s="60" t="str">
        <f>IF(ISERROR(INDEX(電線!D$8:D$212,MATCH($C27,電線!$B$8:$B$212,0)))=TRUE,"",INDEX(電線!D$8:D$212,MATCH($C27,電線!$B$8:$B$212,0)))</f>
        <v/>
      </c>
    </row>
    <row r="28" spans="2:9">
      <c r="B28" s="39" t="str">
        <f>IF(電圧降下計算!$A84="","",電圧降下計算!$A84)</f>
        <v/>
      </c>
      <c r="C28" s="39" t="str">
        <f>IF(電圧降下計算!$N84="","",電圧降下計算!$N84)</f>
        <v/>
      </c>
      <c r="D28" s="39" t="str">
        <f>IF(電圧降下計算!$O84="","",電圧降下計算!$O84)</f>
        <v/>
      </c>
      <c r="E28" s="60" t="str">
        <f t="shared" si="0"/>
        <v/>
      </c>
      <c r="F28" s="60" t="str">
        <f>IF(ISERROR(INDEX(電線!E$8:E$212,MATCH($C28,電線!$B$8:$B$212,0)))=TRUE,"",INDEX(電線!E$8:E$212,MATCH($C28,電線!$B$8:$B$212,0)))</f>
        <v/>
      </c>
      <c r="G28" s="60" t="str">
        <f t="shared" si="1"/>
        <v/>
      </c>
      <c r="H28" s="60" t="str">
        <f>IF(ISERROR(INDEX(電線!C$8:C$212,MATCH($C28,電線!$B$8:$B$212,0)))=TRUE,"",INDEX(電線!C$8:C$212,MATCH($C28,電線!$B$8:$B$212,0)))</f>
        <v/>
      </c>
      <c r="I28" s="60" t="str">
        <f>IF(ISERROR(INDEX(電線!D$8:D$212,MATCH($C28,電線!$B$8:$B$212,0)))=TRUE,"",INDEX(電線!D$8:D$212,MATCH($C28,電線!$B$8:$B$212,0)))</f>
        <v/>
      </c>
    </row>
    <row r="29" spans="2:9">
      <c r="B29" s="39" t="str">
        <f>IF(電圧降下計算!$A88="","",電圧降下計算!$A88)</f>
        <v/>
      </c>
      <c r="C29" s="39" t="str">
        <f>IF(電圧降下計算!$N88="","",電圧降下計算!$N88)</f>
        <v/>
      </c>
      <c r="D29" s="39" t="str">
        <f>IF(電圧降下計算!$O88="","",電圧降下計算!$O88)</f>
        <v/>
      </c>
      <c r="E29" s="60" t="str">
        <f t="shared" si="0"/>
        <v/>
      </c>
      <c r="F29" s="60" t="str">
        <f>IF(ISERROR(INDEX(電線!E$8:E$212,MATCH($C29,電線!$B$8:$B$212,0)))=TRUE,"",INDEX(電線!E$8:E$212,MATCH($C29,電線!$B$8:$B$212,0)))</f>
        <v/>
      </c>
      <c r="G29" s="60" t="str">
        <f t="shared" si="1"/>
        <v/>
      </c>
      <c r="H29" s="60" t="str">
        <f>IF(ISERROR(INDEX(電線!C$8:C$212,MATCH($C29,電線!$B$8:$B$212,0)))=TRUE,"",INDEX(電線!C$8:C$212,MATCH($C29,電線!$B$8:$B$212,0)))</f>
        <v/>
      </c>
      <c r="I29" s="60" t="str">
        <f>IF(ISERROR(INDEX(電線!D$8:D$212,MATCH($C29,電線!$B$8:$B$212,0)))=TRUE,"",INDEX(電線!D$8:D$212,MATCH($C29,電線!$B$8:$B$212,0)))</f>
        <v/>
      </c>
    </row>
    <row r="30" spans="2:9">
      <c r="B30" s="39" t="str">
        <f>IF(電圧降下計算!$A92="","",電圧降下計算!$A92)</f>
        <v/>
      </c>
      <c r="C30" s="39" t="str">
        <f>IF(電圧降下計算!$N92="","",電圧降下計算!$N92)</f>
        <v/>
      </c>
      <c r="D30" s="39" t="str">
        <f>IF(電圧降下計算!$O92="","",電圧降下計算!$O92)</f>
        <v/>
      </c>
      <c r="E30" s="60" t="str">
        <f t="shared" si="0"/>
        <v/>
      </c>
      <c r="F30" s="60" t="str">
        <f>IF(ISERROR(INDEX(電線!E$8:E$212,MATCH($C30,電線!$B$8:$B$212,0)))=TRUE,"",INDEX(電線!E$8:E$212,MATCH($C30,電線!$B$8:$B$212,0)))</f>
        <v/>
      </c>
      <c r="G30" s="60" t="str">
        <f t="shared" si="1"/>
        <v/>
      </c>
      <c r="H30" s="60" t="str">
        <f>IF(ISERROR(INDEX(電線!C$8:C$212,MATCH($C30,電線!$B$8:$B$212,0)))=TRUE,"",INDEX(電線!C$8:C$212,MATCH($C30,電線!$B$8:$B$212,0)))</f>
        <v/>
      </c>
      <c r="I30" s="60" t="str">
        <f>IF(ISERROR(INDEX(電線!D$8:D$212,MATCH($C30,電線!$B$8:$B$212,0)))=TRUE,"",INDEX(電線!D$8:D$212,MATCH($C30,電線!$B$8:$B$212,0)))</f>
        <v/>
      </c>
    </row>
    <row r="33" spans="2:14">
      <c r="B33" t="s">
        <v>238</v>
      </c>
      <c r="F33" s="39" t="s">
        <v>239</v>
      </c>
      <c r="G33" s="60" t="str">
        <f>IF(電圧降下計算!$B$3="","",電圧降下計算!$B$3)</f>
        <v/>
      </c>
    </row>
    <row r="34" spans="2:14">
      <c r="B34" s="35" t="s">
        <v>256</v>
      </c>
      <c r="C34" s="35" t="s">
        <v>38</v>
      </c>
      <c r="D34" s="35" t="s">
        <v>240</v>
      </c>
      <c r="E34" s="35" t="s">
        <v>237</v>
      </c>
      <c r="F34" s="36" t="s">
        <v>40</v>
      </c>
      <c r="G34" s="40"/>
      <c r="H34" s="35" t="s">
        <v>240</v>
      </c>
      <c r="I34" s="36" t="s">
        <v>40</v>
      </c>
      <c r="J34" s="40"/>
      <c r="K34" s="40"/>
      <c r="L34" s="40"/>
      <c r="M34" s="40"/>
      <c r="N34" s="37"/>
    </row>
    <row r="35" spans="2:14">
      <c r="B35" s="43"/>
      <c r="C35" s="43"/>
      <c r="D35" s="43"/>
      <c r="E35" s="82"/>
      <c r="F35" s="35">
        <v>50</v>
      </c>
      <c r="G35" s="35">
        <v>60</v>
      </c>
      <c r="H35" s="43"/>
      <c r="I35" s="36">
        <v>50</v>
      </c>
      <c r="J35" s="40"/>
      <c r="K35" s="37"/>
      <c r="L35" s="36">
        <v>60</v>
      </c>
      <c r="M35" s="40"/>
      <c r="N35" s="37"/>
    </row>
    <row r="36" spans="2:14">
      <c r="B36" s="43"/>
      <c r="C36" s="43"/>
      <c r="D36" s="43"/>
      <c r="E36" s="82"/>
      <c r="F36" s="43"/>
      <c r="G36" s="43"/>
      <c r="H36" s="43"/>
      <c r="I36" s="61" t="s">
        <v>107</v>
      </c>
      <c r="J36" s="62"/>
      <c r="K36" s="63"/>
      <c r="L36" s="61" t="s">
        <v>107</v>
      </c>
      <c r="M36" s="62"/>
      <c r="N36" s="63"/>
    </row>
    <row r="37" spans="2:14">
      <c r="B37" s="43"/>
      <c r="C37" s="43"/>
      <c r="D37" s="43"/>
      <c r="E37" s="82"/>
      <c r="F37" s="43"/>
      <c r="G37" s="43"/>
      <c r="H37" s="43"/>
      <c r="I37" s="47" t="s">
        <v>111</v>
      </c>
      <c r="J37" s="48"/>
      <c r="K37" s="49"/>
      <c r="L37" s="47" t="s">
        <v>111</v>
      </c>
      <c r="M37" s="48"/>
      <c r="N37" s="49"/>
    </row>
    <row r="38" spans="2:14">
      <c r="B38" s="38"/>
      <c r="C38" s="38"/>
      <c r="D38" s="38"/>
      <c r="E38" s="83"/>
      <c r="F38" s="83"/>
      <c r="G38" s="83"/>
      <c r="H38" s="38"/>
      <c r="I38" s="50">
        <v>0.95</v>
      </c>
      <c r="J38" s="50">
        <v>0.9</v>
      </c>
      <c r="K38" s="50">
        <v>0.8</v>
      </c>
      <c r="L38" s="50">
        <v>0.95</v>
      </c>
      <c r="M38" s="50">
        <v>0.9</v>
      </c>
      <c r="N38" s="50">
        <v>0.8</v>
      </c>
    </row>
    <row r="39" spans="2:14">
      <c r="B39" s="39" t="str">
        <f>IF(電圧降下計算!$A8="","",電圧降下計算!$A8)</f>
        <v/>
      </c>
      <c r="C39" s="39" t="str">
        <f>IF(電圧降下計算!$N8="","",電圧降下計算!$N8)</f>
        <v/>
      </c>
      <c r="D39" s="39" t="str">
        <f>IF(電圧降下計算!$O8="","",電圧降下計算!$O8)</f>
        <v/>
      </c>
      <c r="E39" s="51" t="str">
        <f t="shared" ref="E39:E60" si="2">IF(ISERROR(INDEX(F39:G39,MATCH($G$33,F$35:G$35,0)))=TRUE,"",INDEX(F39:G39,MATCH($G$33,F$35:G$35,0)))</f>
        <v/>
      </c>
      <c r="F39" s="51" t="str">
        <f t="shared" ref="F39:F60" si="3">IF(ISERROR(INDEX(I39:K39,MATCH($H39,I$38:K$38,0)))=TRUE,"",INDEX(I39:K39,MATCH($H39,I$38:K$38,0)))</f>
        <v/>
      </c>
      <c r="G39" s="51" t="str">
        <f t="shared" ref="G39:G60" si="4">IF(ISERROR(INDEX(L39:N39,MATCH($H39,L$38:N$38,0)))=TRUE,"",INDEX(L39:N39,MATCH($H39,L$38:N$38,0)))</f>
        <v/>
      </c>
      <c r="H39" s="84" t="str">
        <f>IF(電圧降下計算!$T8="","",電圧降下計算!$T8)</f>
        <v/>
      </c>
      <c r="I39" s="51" t="str">
        <f>IF(ISERROR(INDEX(電線!H$8:H$212,MATCH($C39,電線!$B$8:$B$212,0)))=TRUE,"",INDEX(電線!H$8:H$212,MATCH($C39,電線!$B$8:$B$212,0)))</f>
        <v/>
      </c>
      <c r="J39" s="51" t="str">
        <f>IF(ISERROR(INDEX(電線!I$8:I$212,MATCH($C39,電線!$B$8:$B$212,0)))=TRUE,"",INDEX(電線!I$8:I$212,MATCH($C39,電線!$B$8:$B$212,0)))</f>
        <v/>
      </c>
      <c r="K39" s="51" t="str">
        <f>IF(ISERROR(INDEX(電線!J$8:J$212,MATCH($C39,電線!$B$8:$B$212,0)))=TRUE,"",INDEX(電線!J$8:J$212,MATCH($C39,電線!$B$8:$B$212,0)))</f>
        <v/>
      </c>
      <c r="L39" s="51" t="str">
        <f>IF(ISERROR(INDEX(電線!M$8:M$212,MATCH($C39,電線!$B$8:$B$212,0)))=TRUE,"",INDEX(電線!M$8:M$212,MATCH($C39,電線!$B$8:$B$212,0)))</f>
        <v/>
      </c>
      <c r="M39" s="51" t="str">
        <f>IF(ISERROR(INDEX(電線!N$8:N$212,MATCH($C39,電線!$B$8:$B$212,0)))=TRUE,"",INDEX(電線!N$8:N$212,MATCH($C39,電線!$B$8:$B$212,0)))</f>
        <v/>
      </c>
      <c r="N39" s="51" t="str">
        <f>IF(ISERROR(INDEX(電線!O$8:O$212,MATCH($C39,電線!$B$8:$B$212,0)))=TRUE,"",INDEX(電線!O$8:O$212,MATCH($C39,電線!$B$8:$B$212,0)))</f>
        <v/>
      </c>
    </row>
    <row r="40" spans="2:14">
      <c r="B40" s="39" t="str">
        <f>IF(電圧降下計算!$A12="","",電圧降下計算!$A12)</f>
        <v/>
      </c>
      <c r="C40" s="39" t="str">
        <f>IF(電圧降下計算!$N12="","",電圧降下計算!$N12)</f>
        <v/>
      </c>
      <c r="D40" s="39" t="str">
        <f>IF(電圧降下計算!$O12="","",電圧降下計算!$O12)</f>
        <v/>
      </c>
      <c r="E40" s="51" t="str">
        <f t="shared" si="2"/>
        <v/>
      </c>
      <c r="F40" s="51" t="str">
        <f t="shared" si="3"/>
        <v/>
      </c>
      <c r="G40" s="51" t="str">
        <f t="shared" si="4"/>
        <v/>
      </c>
      <c r="H40" s="84" t="str">
        <f>IF(電圧降下計算!$T12="","",電圧降下計算!$T12)</f>
        <v/>
      </c>
      <c r="I40" s="51" t="str">
        <f>IF(ISERROR(INDEX(電線!H$8:H$212,MATCH($C40,電線!$B$8:$B$212,0)))=TRUE,"",INDEX(電線!H$8:H$212,MATCH($C40,電線!$B$8:$B$212,0)))</f>
        <v/>
      </c>
      <c r="J40" s="51" t="str">
        <f>IF(ISERROR(INDEX(電線!I$8:I$212,MATCH($C40,電線!$B$8:$B$212,0)))=TRUE,"",INDEX(電線!I$8:I$212,MATCH($C40,電線!$B$8:$B$212,0)))</f>
        <v/>
      </c>
      <c r="K40" s="51" t="str">
        <f>IF(ISERROR(INDEX(電線!J$8:J$212,MATCH($C40,電線!$B$8:$B$212,0)))=TRUE,"",INDEX(電線!J$8:J$212,MATCH($C40,電線!$B$8:$B$212,0)))</f>
        <v/>
      </c>
      <c r="L40" s="51" t="str">
        <f>IF(ISERROR(INDEX(電線!M$8:M$212,MATCH($C40,電線!$B$8:$B$212,0)))=TRUE,"",INDEX(電線!M$8:M$212,MATCH($C40,電線!$B$8:$B$212,0)))</f>
        <v/>
      </c>
      <c r="M40" s="51" t="str">
        <f>IF(ISERROR(INDEX(電線!N$8:N$212,MATCH($C40,電線!$B$8:$B$212,0)))=TRUE,"",INDEX(電線!N$8:N$212,MATCH($C40,電線!$B$8:$B$212,0)))</f>
        <v/>
      </c>
      <c r="N40" s="51" t="str">
        <f>IF(ISERROR(INDEX(電線!O$8:O$212,MATCH($C40,電線!$B$8:$B$212,0)))=TRUE,"",INDEX(電線!O$8:O$212,MATCH($C40,電線!$B$8:$B$212,0)))</f>
        <v/>
      </c>
    </row>
    <row r="41" spans="2:14">
      <c r="B41" s="39" t="str">
        <f>IF(電圧降下計算!$A16="","",電圧降下計算!$A16)</f>
        <v/>
      </c>
      <c r="C41" s="39" t="str">
        <f>IF(電圧降下計算!$N16="","",電圧降下計算!$N16)</f>
        <v/>
      </c>
      <c r="D41" s="39" t="str">
        <f>IF(電圧降下計算!$O16="","",電圧降下計算!$O16)</f>
        <v/>
      </c>
      <c r="E41" s="51" t="str">
        <f t="shared" si="2"/>
        <v/>
      </c>
      <c r="F41" s="51" t="str">
        <f t="shared" si="3"/>
        <v/>
      </c>
      <c r="G41" s="51" t="str">
        <f t="shared" si="4"/>
        <v/>
      </c>
      <c r="H41" s="84" t="str">
        <f>IF(電圧降下計算!$T16="","",電圧降下計算!$T16)</f>
        <v/>
      </c>
      <c r="I41" s="51" t="str">
        <f>IF(ISERROR(INDEX(電線!H$8:H$212,MATCH($C41,電線!$B$8:$B$212,0)))=TRUE,"",INDEX(電線!H$8:H$212,MATCH($C41,電線!$B$8:$B$212,0)))</f>
        <v/>
      </c>
      <c r="J41" s="51" t="str">
        <f>IF(ISERROR(INDEX(電線!I$8:I$212,MATCH($C41,電線!$B$8:$B$212,0)))=TRUE,"",INDEX(電線!I$8:I$212,MATCH($C41,電線!$B$8:$B$212,0)))</f>
        <v/>
      </c>
      <c r="K41" s="51" t="str">
        <f>IF(ISERROR(INDEX(電線!J$8:J$212,MATCH($C41,電線!$B$8:$B$212,0)))=TRUE,"",INDEX(電線!J$8:J$212,MATCH($C41,電線!$B$8:$B$212,0)))</f>
        <v/>
      </c>
      <c r="L41" s="51" t="str">
        <f>IF(ISERROR(INDEX(電線!M$8:M$212,MATCH($C41,電線!$B$8:$B$212,0)))=TRUE,"",INDEX(電線!M$8:M$212,MATCH($C41,電線!$B$8:$B$212,0)))</f>
        <v/>
      </c>
      <c r="M41" s="51" t="str">
        <f>IF(ISERROR(INDEX(電線!N$8:N$212,MATCH($C41,電線!$B$8:$B$212,0)))=TRUE,"",INDEX(電線!N$8:N$212,MATCH($C41,電線!$B$8:$B$212,0)))</f>
        <v/>
      </c>
      <c r="N41" s="51" t="str">
        <f>IF(ISERROR(INDEX(電線!O$8:O$212,MATCH($C41,電線!$B$8:$B$212,0)))=TRUE,"",INDEX(電線!O$8:O$212,MATCH($C41,電線!$B$8:$B$212,0)))</f>
        <v/>
      </c>
    </row>
    <row r="42" spans="2:14">
      <c r="B42" s="39" t="str">
        <f>IF(電圧降下計算!$A20="","",電圧降下計算!$A20)</f>
        <v/>
      </c>
      <c r="C42" s="39" t="str">
        <f>IF(電圧降下計算!$N20="","",電圧降下計算!$N20)</f>
        <v/>
      </c>
      <c r="D42" s="39" t="str">
        <f>IF(電圧降下計算!$O20="","",電圧降下計算!$O20)</f>
        <v/>
      </c>
      <c r="E42" s="51" t="str">
        <f t="shared" si="2"/>
        <v/>
      </c>
      <c r="F42" s="51" t="str">
        <f t="shared" si="3"/>
        <v/>
      </c>
      <c r="G42" s="51" t="str">
        <f t="shared" si="4"/>
        <v/>
      </c>
      <c r="H42" s="84" t="str">
        <f>IF(電圧降下計算!$T20="","",電圧降下計算!$T20)</f>
        <v/>
      </c>
      <c r="I42" s="51" t="str">
        <f>IF(ISERROR(INDEX(電線!H$8:H$212,MATCH($C42,電線!$B$8:$B$212,0)))=TRUE,"",INDEX(電線!H$8:H$212,MATCH($C42,電線!$B$8:$B$212,0)))</f>
        <v/>
      </c>
      <c r="J42" s="51" t="str">
        <f>IF(ISERROR(INDEX(電線!I$8:I$212,MATCH($C42,電線!$B$8:$B$212,0)))=TRUE,"",INDEX(電線!I$8:I$212,MATCH($C42,電線!$B$8:$B$212,0)))</f>
        <v/>
      </c>
      <c r="K42" s="51" t="str">
        <f>IF(ISERROR(INDEX(電線!J$8:J$212,MATCH($C42,電線!$B$8:$B$212,0)))=TRUE,"",INDEX(電線!J$8:J$212,MATCH($C42,電線!$B$8:$B$212,0)))</f>
        <v/>
      </c>
      <c r="L42" s="51" t="str">
        <f>IF(ISERROR(INDEX(電線!M$8:M$212,MATCH($C42,電線!$B$8:$B$212,0)))=TRUE,"",INDEX(電線!M$8:M$212,MATCH($C42,電線!$B$8:$B$212,0)))</f>
        <v/>
      </c>
      <c r="M42" s="51" t="str">
        <f>IF(ISERROR(INDEX(電線!N$8:N$212,MATCH($C42,電線!$B$8:$B$212,0)))=TRUE,"",INDEX(電線!N$8:N$212,MATCH($C42,電線!$B$8:$B$212,0)))</f>
        <v/>
      </c>
      <c r="N42" s="51" t="str">
        <f>IF(ISERROR(INDEX(電線!O$8:O$212,MATCH($C42,電線!$B$8:$B$212,0)))=TRUE,"",INDEX(電線!O$8:O$212,MATCH($C42,電線!$B$8:$B$212,0)))</f>
        <v/>
      </c>
    </row>
    <row r="43" spans="2:14">
      <c r="B43" s="39" t="str">
        <f>IF(電圧降下計算!$A24="","",電圧降下計算!$A24)</f>
        <v/>
      </c>
      <c r="C43" s="39" t="str">
        <f>IF(電圧降下計算!$N24="","",電圧降下計算!$N24)</f>
        <v/>
      </c>
      <c r="D43" s="39" t="str">
        <f>IF(電圧降下計算!$O24="","",電圧降下計算!$O24)</f>
        <v/>
      </c>
      <c r="E43" s="51" t="str">
        <f t="shared" si="2"/>
        <v/>
      </c>
      <c r="F43" s="51" t="str">
        <f t="shared" si="3"/>
        <v/>
      </c>
      <c r="G43" s="51" t="str">
        <f t="shared" si="4"/>
        <v/>
      </c>
      <c r="H43" s="84" t="str">
        <f>IF(電圧降下計算!$T24="","",電圧降下計算!$T24)</f>
        <v/>
      </c>
      <c r="I43" s="51" t="str">
        <f>IF(ISERROR(INDEX(電線!H$8:H$212,MATCH($C43,電線!$B$8:$B$212,0)))=TRUE,"",INDEX(電線!H$8:H$212,MATCH($C43,電線!$B$8:$B$212,0)))</f>
        <v/>
      </c>
      <c r="J43" s="51" t="str">
        <f>IF(ISERROR(INDEX(電線!I$8:I$212,MATCH($C43,電線!$B$8:$B$212,0)))=TRUE,"",INDEX(電線!I$8:I$212,MATCH($C43,電線!$B$8:$B$212,0)))</f>
        <v/>
      </c>
      <c r="K43" s="51" t="str">
        <f>IF(ISERROR(INDEX(電線!J$8:J$212,MATCH($C43,電線!$B$8:$B$212,0)))=TRUE,"",INDEX(電線!J$8:J$212,MATCH($C43,電線!$B$8:$B$212,0)))</f>
        <v/>
      </c>
      <c r="L43" s="51" t="str">
        <f>IF(ISERROR(INDEX(電線!M$8:M$212,MATCH($C43,電線!$B$8:$B$212,0)))=TRUE,"",INDEX(電線!M$8:M$212,MATCH($C43,電線!$B$8:$B$212,0)))</f>
        <v/>
      </c>
      <c r="M43" s="51" t="str">
        <f>IF(ISERROR(INDEX(電線!N$8:N$212,MATCH($C43,電線!$B$8:$B$212,0)))=TRUE,"",INDEX(電線!N$8:N$212,MATCH($C43,電線!$B$8:$B$212,0)))</f>
        <v/>
      </c>
      <c r="N43" s="51" t="str">
        <f>IF(ISERROR(INDEX(電線!O$8:O$212,MATCH($C43,電線!$B$8:$B$212,0)))=TRUE,"",INDEX(電線!O$8:O$212,MATCH($C43,電線!$B$8:$B$212,0)))</f>
        <v/>
      </c>
    </row>
    <row r="44" spans="2:14">
      <c r="B44" s="39" t="str">
        <f>IF(電圧降下計算!$A28="","",電圧降下計算!$A28)</f>
        <v/>
      </c>
      <c r="C44" s="39" t="str">
        <f>IF(電圧降下計算!$N28="","",電圧降下計算!$N28)</f>
        <v/>
      </c>
      <c r="D44" s="39" t="str">
        <f>IF(電圧降下計算!$O28="","",電圧降下計算!$O28)</f>
        <v/>
      </c>
      <c r="E44" s="51" t="str">
        <f t="shared" si="2"/>
        <v/>
      </c>
      <c r="F44" s="51" t="str">
        <f t="shared" si="3"/>
        <v/>
      </c>
      <c r="G44" s="51" t="str">
        <f t="shared" si="4"/>
        <v/>
      </c>
      <c r="H44" s="84" t="str">
        <f>IF(電圧降下計算!$T28="","",電圧降下計算!$T28)</f>
        <v/>
      </c>
      <c r="I44" s="51" t="str">
        <f>IF(ISERROR(INDEX(電線!H$8:H$212,MATCH($C44,電線!$B$8:$B$212,0)))=TRUE,"",INDEX(電線!H$8:H$212,MATCH($C44,電線!$B$8:$B$212,0)))</f>
        <v/>
      </c>
      <c r="J44" s="51" t="str">
        <f>IF(ISERROR(INDEX(電線!I$8:I$212,MATCH($C44,電線!$B$8:$B$212,0)))=TRUE,"",INDEX(電線!I$8:I$212,MATCH($C44,電線!$B$8:$B$212,0)))</f>
        <v/>
      </c>
      <c r="K44" s="51" t="str">
        <f>IF(ISERROR(INDEX(電線!J$8:J$212,MATCH($C44,電線!$B$8:$B$212,0)))=TRUE,"",INDEX(電線!J$8:J$212,MATCH($C44,電線!$B$8:$B$212,0)))</f>
        <v/>
      </c>
      <c r="L44" s="51" t="str">
        <f>IF(ISERROR(INDEX(電線!M$8:M$212,MATCH($C44,電線!$B$8:$B$212,0)))=TRUE,"",INDEX(電線!M$8:M$212,MATCH($C44,電線!$B$8:$B$212,0)))</f>
        <v/>
      </c>
      <c r="M44" s="51" t="str">
        <f>IF(ISERROR(INDEX(電線!N$8:N$212,MATCH($C44,電線!$B$8:$B$212,0)))=TRUE,"",INDEX(電線!N$8:N$212,MATCH($C44,電線!$B$8:$B$212,0)))</f>
        <v/>
      </c>
      <c r="N44" s="51" t="str">
        <f>IF(ISERROR(INDEX(電線!O$8:O$212,MATCH($C44,電線!$B$8:$B$212,0)))=TRUE,"",INDEX(電線!O$8:O$212,MATCH($C44,電線!$B$8:$B$212,0)))</f>
        <v/>
      </c>
    </row>
    <row r="45" spans="2:14">
      <c r="B45" s="39" t="str">
        <f>IF(電圧降下計算!$A32="","",電圧降下計算!$A32)</f>
        <v/>
      </c>
      <c r="C45" s="39" t="str">
        <f>IF(電圧降下計算!$N32="","",電圧降下計算!$N32)</f>
        <v/>
      </c>
      <c r="D45" s="39" t="str">
        <f>IF(電圧降下計算!$O32="","",電圧降下計算!$O32)</f>
        <v/>
      </c>
      <c r="E45" s="51" t="str">
        <f t="shared" si="2"/>
        <v/>
      </c>
      <c r="F45" s="51" t="str">
        <f t="shared" si="3"/>
        <v/>
      </c>
      <c r="G45" s="51" t="str">
        <f t="shared" si="4"/>
        <v/>
      </c>
      <c r="H45" s="84" t="str">
        <f>IF(電圧降下計算!$T32="","",電圧降下計算!$T32)</f>
        <v/>
      </c>
      <c r="I45" s="51" t="str">
        <f>IF(ISERROR(INDEX(電線!H$8:H$212,MATCH($C45,電線!$B$8:$B$212,0)))=TRUE,"",INDEX(電線!H$8:H$212,MATCH($C45,電線!$B$8:$B$212,0)))</f>
        <v/>
      </c>
      <c r="J45" s="51" t="str">
        <f>IF(ISERROR(INDEX(電線!I$8:I$212,MATCH($C45,電線!$B$8:$B$212,0)))=TRUE,"",INDEX(電線!I$8:I$212,MATCH($C45,電線!$B$8:$B$212,0)))</f>
        <v/>
      </c>
      <c r="K45" s="51" t="str">
        <f>IF(ISERROR(INDEX(電線!J$8:J$212,MATCH($C45,電線!$B$8:$B$212,0)))=TRUE,"",INDEX(電線!J$8:J$212,MATCH($C45,電線!$B$8:$B$212,0)))</f>
        <v/>
      </c>
      <c r="L45" s="51" t="str">
        <f>IF(ISERROR(INDEX(電線!M$8:M$212,MATCH($C45,電線!$B$8:$B$212,0)))=TRUE,"",INDEX(電線!M$8:M$212,MATCH($C45,電線!$B$8:$B$212,0)))</f>
        <v/>
      </c>
      <c r="M45" s="51" t="str">
        <f>IF(ISERROR(INDEX(電線!N$8:N$212,MATCH($C45,電線!$B$8:$B$212,0)))=TRUE,"",INDEX(電線!N$8:N$212,MATCH($C45,電線!$B$8:$B$212,0)))</f>
        <v/>
      </c>
      <c r="N45" s="51" t="str">
        <f>IF(ISERROR(INDEX(電線!O$8:O$212,MATCH($C45,電線!$B$8:$B$212,0)))=TRUE,"",INDEX(電線!O$8:O$212,MATCH($C45,電線!$B$8:$B$212,0)))</f>
        <v/>
      </c>
    </row>
    <row r="46" spans="2:14">
      <c r="B46" s="39" t="str">
        <f>IF(電圧降下計算!$A36="","",電圧降下計算!$A36)</f>
        <v/>
      </c>
      <c r="C46" s="39" t="str">
        <f>IF(電圧降下計算!$N36="","",電圧降下計算!$N36)</f>
        <v/>
      </c>
      <c r="D46" s="39" t="str">
        <f>IF(電圧降下計算!$O36="","",電圧降下計算!$O36)</f>
        <v/>
      </c>
      <c r="E46" s="51" t="str">
        <f t="shared" si="2"/>
        <v/>
      </c>
      <c r="F46" s="51" t="str">
        <f t="shared" si="3"/>
        <v/>
      </c>
      <c r="G46" s="51" t="str">
        <f t="shared" si="4"/>
        <v/>
      </c>
      <c r="H46" s="84" t="str">
        <f>IF(電圧降下計算!$T36="","",電圧降下計算!$T36)</f>
        <v/>
      </c>
      <c r="I46" s="51" t="str">
        <f>IF(ISERROR(INDEX(電線!H$8:H$212,MATCH($C46,電線!$B$8:$B$212,0)))=TRUE,"",INDEX(電線!H$8:H$212,MATCH($C46,電線!$B$8:$B$212,0)))</f>
        <v/>
      </c>
      <c r="J46" s="51" t="str">
        <f>IF(ISERROR(INDEX(電線!I$8:I$212,MATCH($C46,電線!$B$8:$B$212,0)))=TRUE,"",INDEX(電線!I$8:I$212,MATCH($C46,電線!$B$8:$B$212,0)))</f>
        <v/>
      </c>
      <c r="K46" s="51" t="str">
        <f>IF(ISERROR(INDEX(電線!J$8:J$212,MATCH($C46,電線!$B$8:$B$212,0)))=TRUE,"",INDEX(電線!J$8:J$212,MATCH($C46,電線!$B$8:$B$212,0)))</f>
        <v/>
      </c>
      <c r="L46" s="51" t="str">
        <f>IF(ISERROR(INDEX(電線!M$8:M$212,MATCH($C46,電線!$B$8:$B$212,0)))=TRUE,"",INDEX(電線!M$8:M$212,MATCH($C46,電線!$B$8:$B$212,0)))</f>
        <v/>
      </c>
      <c r="M46" s="51" t="str">
        <f>IF(ISERROR(INDEX(電線!N$8:N$212,MATCH($C46,電線!$B$8:$B$212,0)))=TRUE,"",INDEX(電線!N$8:N$212,MATCH($C46,電線!$B$8:$B$212,0)))</f>
        <v/>
      </c>
      <c r="N46" s="51" t="str">
        <f>IF(ISERROR(INDEX(電線!O$8:O$212,MATCH($C46,電線!$B$8:$B$212,0)))=TRUE,"",INDEX(電線!O$8:O$212,MATCH($C46,電線!$B$8:$B$212,0)))</f>
        <v/>
      </c>
    </row>
    <row r="47" spans="2:14">
      <c r="B47" s="39" t="str">
        <f>IF(電圧降下計算!$A40="","",電圧降下計算!$A40)</f>
        <v/>
      </c>
      <c r="C47" s="39" t="str">
        <f>IF(電圧降下計算!$N40="","",電圧降下計算!$N40)</f>
        <v/>
      </c>
      <c r="D47" s="39" t="str">
        <f>IF(電圧降下計算!$O40="","",電圧降下計算!$O40)</f>
        <v/>
      </c>
      <c r="E47" s="51" t="str">
        <f t="shared" si="2"/>
        <v/>
      </c>
      <c r="F47" s="51" t="str">
        <f t="shared" si="3"/>
        <v/>
      </c>
      <c r="G47" s="51" t="str">
        <f t="shared" si="4"/>
        <v/>
      </c>
      <c r="H47" s="84" t="str">
        <f>IF(電圧降下計算!$T40="","",電圧降下計算!$T40)</f>
        <v/>
      </c>
      <c r="I47" s="51" t="str">
        <f>IF(ISERROR(INDEX(電線!H$8:H$212,MATCH($C47,電線!$B$8:$B$212,0)))=TRUE,"",INDEX(電線!H$8:H$212,MATCH($C47,電線!$B$8:$B$212,0)))</f>
        <v/>
      </c>
      <c r="J47" s="51" t="str">
        <f>IF(ISERROR(INDEX(電線!I$8:I$212,MATCH($C47,電線!$B$8:$B$212,0)))=TRUE,"",INDEX(電線!I$8:I$212,MATCH($C47,電線!$B$8:$B$212,0)))</f>
        <v/>
      </c>
      <c r="K47" s="51" t="str">
        <f>IF(ISERROR(INDEX(電線!J$8:J$212,MATCH($C47,電線!$B$8:$B$212,0)))=TRUE,"",INDEX(電線!J$8:J$212,MATCH($C47,電線!$B$8:$B$212,0)))</f>
        <v/>
      </c>
      <c r="L47" s="51" t="str">
        <f>IF(ISERROR(INDEX(電線!M$8:M$212,MATCH($C47,電線!$B$8:$B$212,0)))=TRUE,"",INDEX(電線!M$8:M$212,MATCH($C47,電線!$B$8:$B$212,0)))</f>
        <v/>
      </c>
      <c r="M47" s="51" t="str">
        <f>IF(ISERROR(INDEX(電線!N$8:N$212,MATCH($C47,電線!$B$8:$B$212,0)))=TRUE,"",INDEX(電線!N$8:N$212,MATCH($C47,電線!$B$8:$B$212,0)))</f>
        <v/>
      </c>
      <c r="N47" s="51" t="str">
        <f>IF(ISERROR(INDEX(電線!O$8:O$212,MATCH($C47,電線!$B$8:$B$212,0)))=TRUE,"",INDEX(電線!O$8:O$212,MATCH($C47,電線!$B$8:$B$212,0)))</f>
        <v/>
      </c>
    </row>
    <row r="48" spans="2:14">
      <c r="B48" s="39" t="str">
        <f>IF(電圧降下計算!$A44="","",電圧降下計算!$A44)</f>
        <v/>
      </c>
      <c r="C48" s="39" t="str">
        <f>IF(電圧降下計算!$N44="","",電圧降下計算!$N44)</f>
        <v/>
      </c>
      <c r="D48" s="39" t="str">
        <f>IF(電圧降下計算!$O44="","",電圧降下計算!$O44)</f>
        <v/>
      </c>
      <c r="E48" s="51" t="str">
        <f t="shared" si="2"/>
        <v/>
      </c>
      <c r="F48" s="51" t="str">
        <f t="shared" si="3"/>
        <v/>
      </c>
      <c r="G48" s="51" t="str">
        <f t="shared" si="4"/>
        <v/>
      </c>
      <c r="H48" s="84" t="str">
        <f>IF(電圧降下計算!$T44="","",電圧降下計算!$T44)</f>
        <v/>
      </c>
      <c r="I48" s="51" t="str">
        <f>IF(ISERROR(INDEX(電線!H$8:H$212,MATCH($C48,電線!$B$8:$B$212,0)))=TRUE,"",INDEX(電線!H$8:H$212,MATCH($C48,電線!$B$8:$B$212,0)))</f>
        <v/>
      </c>
      <c r="J48" s="51" t="str">
        <f>IF(ISERROR(INDEX(電線!I$8:I$212,MATCH($C48,電線!$B$8:$B$212,0)))=TRUE,"",INDEX(電線!I$8:I$212,MATCH($C48,電線!$B$8:$B$212,0)))</f>
        <v/>
      </c>
      <c r="K48" s="51" t="str">
        <f>IF(ISERROR(INDEX(電線!J$8:J$212,MATCH($C48,電線!$B$8:$B$212,0)))=TRUE,"",INDEX(電線!J$8:J$212,MATCH($C48,電線!$B$8:$B$212,0)))</f>
        <v/>
      </c>
      <c r="L48" s="51" t="str">
        <f>IF(ISERROR(INDEX(電線!M$8:M$212,MATCH($C48,電線!$B$8:$B$212,0)))=TRUE,"",INDEX(電線!M$8:M$212,MATCH($C48,電線!$B$8:$B$212,0)))</f>
        <v/>
      </c>
      <c r="M48" s="51" t="str">
        <f>IF(ISERROR(INDEX(電線!N$8:N$212,MATCH($C48,電線!$B$8:$B$212,0)))=TRUE,"",INDEX(電線!N$8:N$212,MATCH($C48,電線!$B$8:$B$212,0)))</f>
        <v/>
      </c>
      <c r="N48" s="51" t="str">
        <f>IF(ISERROR(INDEX(電線!O$8:O$212,MATCH($C48,電線!$B$8:$B$212,0)))=TRUE,"",INDEX(電線!O$8:O$212,MATCH($C48,電線!$B$8:$B$212,0)))</f>
        <v/>
      </c>
    </row>
    <row r="49" spans="2:14">
      <c r="B49" s="39" t="str">
        <f>IF(電圧降下計算!$A48="","",電圧降下計算!$A48)</f>
        <v/>
      </c>
      <c r="C49" s="39" t="str">
        <f>IF(電圧降下計算!$N48="","",電圧降下計算!$N48)</f>
        <v/>
      </c>
      <c r="D49" s="39" t="str">
        <f>IF(電圧降下計算!$O48="","",電圧降下計算!$O48)</f>
        <v/>
      </c>
      <c r="E49" s="51" t="str">
        <f t="shared" si="2"/>
        <v/>
      </c>
      <c r="F49" s="51" t="str">
        <f t="shared" si="3"/>
        <v/>
      </c>
      <c r="G49" s="51" t="str">
        <f t="shared" si="4"/>
        <v/>
      </c>
      <c r="H49" s="84" t="str">
        <f>IF(電圧降下計算!$T48="","",電圧降下計算!$T48)</f>
        <v/>
      </c>
      <c r="I49" s="51" t="str">
        <f>IF(ISERROR(INDEX(電線!H$8:H$212,MATCH($C49,電線!$B$8:$B$212,0)))=TRUE,"",INDEX(電線!H$8:H$212,MATCH($C49,電線!$B$8:$B$212,0)))</f>
        <v/>
      </c>
      <c r="J49" s="51" t="str">
        <f>IF(ISERROR(INDEX(電線!I$8:I$212,MATCH($C49,電線!$B$8:$B$212,0)))=TRUE,"",INDEX(電線!I$8:I$212,MATCH($C49,電線!$B$8:$B$212,0)))</f>
        <v/>
      </c>
      <c r="K49" s="51" t="str">
        <f>IF(ISERROR(INDEX(電線!J$8:J$212,MATCH($C49,電線!$B$8:$B$212,0)))=TRUE,"",INDEX(電線!J$8:J$212,MATCH($C49,電線!$B$8:$B$212,0)))</f>
        <v/>
      </c>
      <c r="L49" s="51" t="str">
        <f>IF(ISERROR(INDEX(電線!M$8:M$212,MATCH($C49,電線!$B$8:$B$212,0)))=TRUE,"",INDEX(電線!M$8:M$212,MATCH($C49,電線!$B$8:$B$212,0)))</f>
        <v/>
      </c>
      <c r="M49" s="51" t="str">
        <f>IF(ISERROR(INDEX(電線!N$8:N$212,MATCH($C49,電線!$B$8:$B$212,0)))=TRUE,"",INDEX(電線!N$8:N$212,MATCH($C49,電線!$B$8:$B$212,0)))</f>
        <v/>
      </c>
      <c r="N49" s="51" t="str">
        <f>IF(ISERROR(INDEX(電線!O$8:O$212,MATCH($C49,電線!$B$8:$B$212,0)))=TRUE,"",INDEX(電線!O$8:O$212,MATCH($C49,電線!$B$8:$B$212,0)))</f>
        <v/>
      </c>
    </row>
    <row r="50" spans="2:14">
      <c r="B50" s="39" t="str">
        <f>IF(電圧降下計算!$A52="","",電圧降下計算!$A52)</f>
        <v/>
      </c>
      <c r="C50" s="39" t="str">
        <f>IF(電圧降下計算!$N52="","",電圧降下計算!$N52)</f>
        <v/>
      </c>
      <c r="D50" s="39" t="str">
        <f>IF(電圧降下計算!$O52="","",電圧降下計算!$O52)</f>
        <v/>
      </c>
      <c r="E50" s="51" t="str">
        <f t="shared" si="2"/>
        <v/>
      </c>
      <c r="F50" s="51" t="str">
        <f t="shared" si="3"/>
        <v/>
      </c>
      <c r="G50" s="51" t="str">
        <f t="shared" si="4"/>
        <v/>
      </c>
      <c r="H50" s="84" t="str">
        <f>IF(電圧降下計算!$T52="","",電圧降下計算!$T52)</f>
        <v/>
      </c>
      <c r="I50" s="51" t="str">
        <f>IF(ISERROR(INDEX(電線!H$8:H$212,MATCH($C50,電線!$B$8:$B$212,0)))=TRUE,"",INDEX(電線!H$8:H$212,MATCH($C50,電線!$B$8:$B$212,0)))</f>
        <v/>
      </c>
      <c r="J50" s="51" t="str">
        <f>IF(ISERROR(INDEX(電線!I$8:I$212,MATCH($C50,電線!$B$8:$B$212,0)))=TRUE,"",INDEX(電線!I$8:I$212,MATCH($C50,電線!$B$8:$B$212,0)))</f>
        <v/>
      </c>
      <c r="K50" s="51" t="str">
        <f>IF(ISERROR(INDEX(電線!J$8:J$212,MATCH($C50,電線!$B$8:$B$212,0)))=TRUE,"",INDEX(電線!J$8:J$212,MATCH($C50,電線!$B$8:$B$212,0)))</f>
        <v/>
      </c>
      <c r="L50" s="51" t="str">
        <f>IF(ISERROR(INDEX(電線!M$8:M$212,MATCH($C50,電線!$B$8:$B$212,0)))=TRUE,"",INDEX(電線!M$8:M$212,MATCH($C50,電線!$B$8:$B$212,0)))</f>
        <v/>
      </c>
      <c r="M50" s="51" t="str">
        <f>IF(ISERROR(INDEX(電線!N$8:N$212,MATCH($C50,電線!$B$8:$B$212,0)))=TRUE,"",INDEX(電線!N$8:N$212,MATCH($C50,電線!$B$8:$B$212,0)))</f>
        <v/>
      </c>
      <c r="N50" s="51" t="str">
        <f>IF(ISERROR(INDEX(電線!O$8:O$212,MATCH($C50,電線!$B$8:$B$212,0)))=TRUE,"",INDEX(電線!O$8:O$212,MATCH($C50,電線!$B$8:$B$212,0)))</f>
        <v/>
      </c>
    </row>
    <row r="51" spans="2:14">
      <c r="B51" s="39" t="str">
        <f>IF(電圧降下計算!$A56="","",電圧降下計算!$A56)</f>
        <v/>
      </c>
      <c r="C51" s="39" t="str">
        <f>IF(電圧降下計算!$N56="","",電圧降下計算!$N56)</f>
        <v/>
      </c>
      <c r="D51" s="39" t="str">
        <f>IF(電圧降下計算!$O56="","",電圧降下計算!$O56)</f>
        <v/>
      </c>
      <c r="E51" s="51" t="str">
        <f t="shared" si="2"/>
        <v/>
      </c>
      <c r="F51" s="51" t="str">
        <f t="shared" si="3"/>
        <v/>
      </c>
      <c r="G51" s="51" t="str">
        <f t="shared" si="4"/>
        <v/>
      </c>
      <c r="H51" s="84" t="str">
        <f>IF(電圧降下計算!$T56="","",電圧降下計算!$T56)</f>
        <v/>
      </c>
      <c r="I51" s="51" t="str">
        <f>IF(ISERROR(INDEX(電線!H$8:H$212,MATCH($C51,電線!$B$8:$B$212,0)))=TRUE,"",INDEX(電線!H$8:H$212,MATCH($C51,電線!$B$8:$B$212,0)))</f>
        <v/>
      </c>
      <c r="J51" s="51" t="str">
        <f>IF(ISERROR(INDEX(電線!I$8:I$212,MATCH($C51,電線!$B$8:$B$212,0)))=TRUE,"",INDEX(電線!I$8:I$212,MATCH($C51,電線!$B$8:$B$212,0)))</f>
        <v/>
      </c>
      <c r="K51" s="51" t="str">
        <f>IF(ISERROR(INDEX(電線!J$8:J$212,MATCH($C51,電線!$B$8:$B$212,0)))=TRUE,"",INDEX(電線!J$8:J$212,MATCH($C51,電線!$B$8:$B$212,0)))</f>
        <v/>
      </c>
      <c r="L51" s="51" t="str">
        <f>IF(ISERROR(INDEX(電線!M$8:M$212,MATCH($C51,電線!$B$8:$B$212,0)))=TRUE,"",INDEX(電線!M$8:M$212,MATCH($C51,電線!$B$8:$B$212,0)))</f>
        <v/>
      </c>
      <c r="M51" s="51" t="str">
        <f>IF(ISERROR(INDEX(電線!N$8:N$212,MATCH($C51,電線!$B$8:$B$212,0)))=TRUE,"",INDEX(電線!N$8:N$212,MATCH($C51,電線!$B$8:$B$212,0)))</f>
        <v/>
      </c>
      <c r="N51" s="51" t="str">
        <f>IF(ISERROR(INDEX(電線!O$8:O$212,MATCH($C51,電線!$B$8:$B$212,0)))=TRUE,"",INDEX(電線!O$8:O$212,MATCH($C51,電線!$B$8:$B$212,0)))</f>
        <v/>
      </c>
    </row>
    <row r="52" spans="2:14">
      <c r="B52" s="39" t="str">
        <f>IF(電圧降下計算!$A60="","",電圧降下計算!$A60)</f>
        <v/>
      </c>
      <c r="C52" s="39" t="str">
        <f>IF(電圧降下計算!$N60="","",電圧降下計算!$N60)</f>
        <v/>
      </c>
      <c r="D52" s="39" t="str">
        <f>IF(電圧降下計算!$O60="","",電圧降下計算!$O60)</f>
        <v/>
      </c>
      <c r="E52" s="51" t="str">
        <f t="shared" si="2"/>
        <v/>
      </c>
      <c r="F52" s="51" t="str">
        <f t="shared" si="3"/>
        <v/>
      </c>
      <c r="G52" s="51" t="str">
        <f t="shared" si="4"/>
        <v/>
      </c>
      <c r="H52" s="84" t="str">
        <f>IF(電圧降下計算!$T60="","",電圧降下計算!$T60)</f>
        <v/>
      </c>
      <c r="I52" s="51" t="str">
        <f>IF(ISERROR(INDEX(電線!H$8:H$212,MATCH($C52,電線!$B$8:$B$212,0)))=TRUE,"",INDEX(電線!H$8:H$212,MATCH($C52,電線!$B$8:$B$212,0)))</f>
        <v/>
      </c>
      <c r="J52" s="51" t="str">
        <f>IF(ISERROR(INDEX(電線!I$8:I$212,MATCH($C52,電線!$B$8:$B$212,0)))=TRUE,"",INDEX(電線!I$8:I$212,MATCH($C52,電線!$B$8:$B$212,0)))</f>
        <v/>
      </c>
      <c r="K52" s="51" t="str">
        <f>IF(ISERROR(INDEX(電線!J$8:J$212,MATCH($C52,電線!$B$8:$B$212,0)))=TRUE,"",INDEX(電線!J$8:J$212,MATCH($C52,電線!$B$8:$B$212,0)))</f>
        <v/>
      </c>
      <c r="L52" s="51" t="str">
        <f>IF(ISERROR(INDEX(電線!M$8:M$212,MATCH($C52,電線!$B$8:$B$212,0)))=TRUE,"",INDEX(電線!M$8:M$212,MATCH($C52,電線!$B$8:$B$212,0)))</f>
        <v/>
      </c>
      <c r="M52" s="51" t="str">
        <f>IF(ISERROR(INDEX(電線!N$8:N$212,MATCH($C52,電線!$B$8:$B$212,0)))=TRUE,"",INDEX(電線!N$8:N$212,MATCH($C52,電線!$B$8:$B$212,0)))</f>
        <v/>
      </c>
      <c r="N52" s="51" t="str">
        <f>IF(ISERROR(INDEX(電線!O$8:O$212,MATCH($C52,電線!$B$8:$B$212,0)))=TRUE,"",INDEX(電線!O$8:O$212,MATCH($C52,電線!$B$8:$B$212,0)))</f>
        <v/>
      </c>
    </row>
    <row r="53" spans="2:14">
      <c r="B53" s="39" t="str">
        <f>IF(電圧降下計算!$A64="","",電圧降下計算!$A64)</f>
        <v/>
      </c>
      <c r="C53" s="39" t="str">
        <f>IF(電圧降下計算!$N64="","",電圧降下計算!$N64)</f>
        <v/>
      </c>
      <c r="D53" s="39" t="str">
        <f>IF(電圧降下計算!$O64="","",電圧降下計算!$O64)</f>
        <v/>
      </c>
      <c r="E53" s="51" t="str">
        <f t="shared" si="2"/>
        <v/>
      </c>
      <c r="F53" s="51" t="str">
        <f t="shared" si="3"/>
        <v/>
      </c>
      <c r="G53" s="51" t="str">
        <f t="shared" si="4"/>
        <v/>
      </c>
      <c r="H53" s="84" t="str">
        <f>IF(電圧降下計算!$T64="","",電圧降下計算!$T64)</f>
        <v/>
      </c>
      <c r="I53" s="51" t="str">
        <f>IF(ISERROR(INDEX(電線!H$8:H$212,MATCH($C53,電線!$B$8:$B$212,0)))=TRUE,"",INDEX(電線!H$8:H$212,MATCH($C53,電線!$B$8:$B$212,0)))</f>
        <v/>
      </c>
      <c r="J53" s="51" t="str">
        <f>IF(ISERROR(INDEX(電線!I$8:I$212,MATCH($C53,電線!$B$8:$B$212,0)))=TRUE,"",INDEX(電線!I$8:I$212,MATCH($C53,電線!$B$8:$B$212,0)))</f>
        <v/>
      </c>
      <c r="K53" s="51" t="str">
        <f>IF(ISERROR(INDEX(電線!J$8:J$212,MATCH($C53,電線!$B$8:$B$212,0)))=TRUE,"",INDEX(電線!J$8:J$212,MATCH($C53,電線!$B$8:$B$212,0)))</f>
        <v/>
      </c>
      <c r="L53" s="51" t="str">
        <f>IF(ISERROR(INDEX(電線!M$8:M$212,MATCH($C53,電線!$B$8:$B$212,0)))=TRUE,"",INDEX(電線!M$8:M$212,MATCH($C53,電線!$B$8:$B$212,0)))</f>
        <v/>
      </c>
      <c r="M53" s="51" t="str">
        <f>IF(ISERROR(INDEX(電線!N$8:N$212,MATCH($C53,電線!$B$8:$B$212,0)))=TRUE,"",INDEX(電線!N$8:N$212,MATCH($C53,電線!$B$8:$B$212,0)))</f>
        <v/>
      </c>
      <c r="N53" s="51" t="str">
        <f>IF(ISERROR(INDEX(電線!O$8:O$212,MATCH($C53,電線!$B$8:$B$212,0)))=TRUE,"",INDEX(電線!O$8:O$212,MATCH($C53,電線!$B$8:$B$212,0)))</f>
        <v/>
      </c>
    </row>
    <row r="54" spans="2:14">
      <c r="B54" s="39" t="str">
        <f>IF(電圧降下計算!$A68="","",電圧降下計算!$A68)</f>
        <v/>
      </c>
      <c r="C54" s="39" t="str">
        <f>IF(電圧降下計算!$N68="","",電圧降下計算!$N68)</f>
        <v/>
      </c>
      <c r="D54" s="39" t="str">
        <f>IF(電圧降下計算!$O68="","",電圧降下計算!$O68)</f>
        <v/>
      </c>
      <c r="E54" s="51" t="str">
        <f t="shared" si="2"/>
        <v/>
      </c>
      <c r="F54" s="51" t="str">
        <f t="shared" si="3"/>
        <v/>
      </c>
      <c r="G54" s="51" t="str">
        <f t="shared" si="4"/>
        <v/>
      </c>
      <c r="H54" s="84" t="str">
        <f>IF(電圧降下計算!$T68="","",電圧降下計算!$T68)</f>
        <v/>
      </c>
      <c r="I54" s="51" t="str">
        <f>IF(ISERROR(INDEX(電線!H$8:H$212,MATCH($C54,電線!$B$8:$B$212,0)))=TRUE,"",INDEX(電線!H$8:H$212,MATCH($C54,電線!$B$8:$B$212,0)))</f>
        <v/>
      </c>
      <c r="J54" s="51" t="str">
        <f>IF(ISERROR(INDEX(電線!I$8:I$212,MATCH($C54,電線!$B$8:$B$212,0)))=TRUE,"",INDEX(電線!I$8:I$212,MATCH($C54,電線!$B$8:$B$212,0)))</f>
        <v/>
      </c>
      <c r="K54" s="51" t="str">
        <f>IF(ISERROR(INDEX(電線!J$8:J$212,MATCH($C54,電線!$B$8:$B$212,0)))=TRUE,"",INDEX(電線!J$8:J$212,MATCH($C54,電線!$B$8:$B$212,0)))</f>
        <v/>
      </c>
      <c r="L54" s="51" t="str">
        <f>IF(ISERROR(INDEX(電線!M$8:M$212,MATCH($C54,電線!$B$8:$B$212,0)))=TRUE,"",INDEX(電線!M$8:M$212,MATCH($C54,電線!$B$8:$B$212,0)))</f>
        <v/>
      </c>
      <c r="M54" s="51" t="str">
        <f>IF(ISERROR(INDEX(電線!N$8:N$212,MATCH($C54,電線!$B$8:$B$212,0)))=TRUE,"",INDEX(電線!N$8:N$212,MATCH($C54,電線!$B$8:$B$212,0)))</f>
        <v/>
      </c>
      <c r="N54" s="51" t="str">
        <f>IF(ISERROR(INDEX(電線!O$8:O$212,MATCH($C54,電線!$B$8:$B$212,0)))=TRUE,"",INDEX(電線!O$8:O$212,MATCH($C54,電線!$B$8:$B$212,0)))</f>
        <v/>
      </c>
    </row>
    <row r="55" spans="2:14">
      <c r="B55" s="39" t="str">
        <f>IF(電圧降下計算!$A72="","",電圧降下計算!$A72)</f>
        <v/>
      </c>
      <c r="C55" s="39" t="str">
        <f>IF(電圧降下計算!$N72="","",電圧降下計算!$N72)</f>
        <v/>
      </c>
      <c r="D55" s="39" t="str">
        <f>IF(電圧降下計算!$O72="","",電圧降下計算!$O72)</f>
        <v/>
      </c>
      <c r="E55" s="51" t="str">
        <f t="shared" si="2"/>
        <v/>
      </c>
      <c r="F55" s="51" t="str">
        <f t="shared" si="3"/>
        <v/>
      </c>
      <c r="G55" s="51" t="str">
        <f t="shared" si="4"/>
        <v/>
      </c>
      <c r="H55" s="84" t="str">
        <f>IF(電圧降下計算!$T72="","",電圧降下計算!$T72)</f>
        <v/>
      </c>
      <c r="I55" s="51" t="str">
        <f>IF(ISERROR(INDEX(電線!H$8:H$212,MATCH($C55,電線!$B$8:$B$212,0)))=TRUE,"",INDEX(電線!H$8:H$212,MATCH($C55,電線!$B$8:$B$212,0)))</f>
        <v/>
      </c>
      <c r="J55" s="51" t="str">
        <f>IF(ISERROR(INDEX(電線!I$8:I$212,MATCH($C55,電線!$B$8:$B$212,0)))=TRUE,"",INDEX(電線!I$8:I$212,MATCH($C55,電線!$B$8:$B$212,0)))</f>
        <v/>
      </c>
      <c r="K55" s="51" t="str">
        <f>IF(ISERROR(INDEX(電線!J$8:J$212,MATCH($C55,電線!$B$8:$B$212,0)))=TRUE,"",INDEX(電線!J$8:J$212,MATCH($C55,電線!$B$8:$B$212,0)))</f>
        <v/>
      </c>
      <c r="L55" s="51" t="str">
        <f>IF(ISERROR(INDEX(電線!M$8:M$212,MATCH($C55,電線!$B$8:$B$212,0)))=TRUE,"",INDEX(電線!M$8:M$212,MATCH($C55,電線!$B$8:$B$212,0)))</f>
        <v/>
      </c>
      <c r="M55" s="51" t="str">
        <f>IF(ISERROR(INDEX(電線!N$8:N$212,MATCH($C55,電線!$B$8:$B$212,0)))=TRUE,"",INDEX(電線!N$8:N$212,MATCH($C55,電線!$B$8:$B$212,0)))</f>
        <v/>
      </c>
      <c r="N55" s="51" t="str">
        <f>IF(ISERROR(INDEX(電線!O$8:O$212,MATCH($C55,電線!$B$8:$B$212,0)))=TRUE,"",INDEX(電線!O$8:O$212,MATCH($C55,電線!$B$8:$B$212,0)))</f>
        <v/>
      </c>
    </row>
    <row r="56" spans="2:14">
      <c r="B56" s="39" t="str">
        <f>IF(電圧降下計算!$A76="","",電圧降下計算!$A76)</f>
        <v/>
      </c>
      <c r="C56" s="39" t="str">
        <f>IF(電圧降下計算!$N76="","",電圧降下計算!$N76)</f>
        <v/>
      </c>
      <c r="D56" s="39" t="str">
        <f>IF(電圧降下計算!$O76="","",電圧降下計算!$O76)</f>
        <v/>
      </c>
      <c r="E56" s="51" t="str">
        <f t="shared" si="2"/>
        <v/>
      </c>
      <c r="F56" s="51" t="str">
        <f t="shared" si="3"/>
        <v/>
      </c>
      <c r="G56" s="51" t="str">
        <f t="shared" si="4"/>
        <v/>
      </c>
      <c r="H56" s="84" t="str">
        <f>IF(電圧降下計算!$T76="","",電圧降下計算!$T76)</f>
        <v/>
      </c>
      <c r="I56" s="51" t="str">
        <f>IF(ISERROR(INDEX(電線!H$8:H$212,MATCH($C56,電線!$B$8:$B$212,0)))=TRUE,"",INDEX(電線!H$8:H$212,MATCH($C56,電線!$B$8:$B$212,0)))</f>
        <v/>
      </c>
      <c r="J56" s="51" t="str">
        <f>IF(ISERROR(INDEX(電線!I$8:I$212,MATCH($C56,電線!$B$8:$B$212,0)))=TRUE,"",INDEX(電線!I$8:I$212,MATCH($C56,電線!$B$8:$B$212,0)))</f>
        <v/>
      </c>
      <c r="K56" s="51" t="str">
        <f>IF(ISERROR(INDEX(電線!J$8:J$212,MATCH($C56,電線!$B$8:$B$212,0)))=TRUE,"",INDEX(電線!J$8:J$212,MATCH($C56,電線!$B$8:$B$212,0)))</f>
        <v/>
      </c>
      <c r="L56" s="51" t="str">
        <f>IF(ISERROR(INDEX(電線!M$8:M$212,MATCH($C56,電線!$B$8:$B$212,0)))=TRUE,"",INDEX(電線!M$8:M$212,MATCH($C56,電線!$B$8:$B$212,0)))</f>
        <v/>
      </c>
      <c r="M56" s="51" t="str">
        <f>IF(ISERROR(INDEX(電線!N$8:N$212,MATCH($C56,電線!$B$8:$B$212,0)))=TRUE,"",INDEX(電線!N$8:N$212,MATCH($C56,電線!$B$8:$B$212,0)))</f>
        <v/>
      </c>
      <c r="N56" s="51" t="str">
        <f>IF(ISERROR(INDEX(電線!O$8:O$212,MATCH($C56,電線!$B$8:$B$212,0)))=TRUE,"",INDEX(電線!O$8:O$212,MATCH($C56,電線!$B$8:$B$212,0)))</f>
        <v/>
      </c>
    </row>
    <row r="57" spans="2:14">
      <c r="B57" s="39" t="str">
        <f>IF(電圧降下計算!$A80="","",電圧降下計算!$A80)</f>
        <v/>
      </c>
      <c r="C57" s="39" t="str">
        <f>IF(電圧降下計算!$N80="","",電圧降下計算!$N80)</f>
        <v/>
      </c>
      <c r="D57" s="39" t="str">
        <f>IF(電圧降下計算!$O80="","",電圧降下計算!$O80)</f>
        <v/>
      </c>
      <c r="E57" s="51" t="str">
        <f t="shared" si="2"/>
        <v/>
      </c>
      <c r="F57" s="51" t="str">
        <f t="shared" si="3"/>
        <v/>
      </c>
      <c r="G57" s="51" t="str">
        <f t="shared" si="4"/>
        <v/>
      </c>
      <c r="H57" s="84" t="str">
        <f>IF(電圧降下計算!$T80="","",電圧降下計算!$T80)</f>
        <v/>
      </c>
      <c r="I57" s="51" t="str">
        <f>IF(ISERROR(INDEX(電線!H$8:H$212,MATCH($C57,電線!$B$8:$B$212,0)))=TRUE,"",INDEX(電線!H$8:H$212,MATCH($C57,電線!$B$8:$B$212,0)))</f>
        <v/>
      </c>
      <c r="J57" s="51" t="str">
        <f>IF(ISERROR(INDEX(電線!I$8:I$212,MATCH($C57,電線!$B$8:$B$212,0)))=TRUE,"",INDEX(電線!I$8:I$212,MATCH($C57,電線!$B$8:$B$212,0)))</f>
        <v/>
      </c>
      <c r="K57" s="51" t="str">
        <f>IF(ISERROR(INDEX(電線!J$8:J$212,MATCH($C57,電線!$B$8:$B$212,0)))=TRUE,"",INDEX(電線!J$8:J$212,MATCH($C57,電線!$B$8:$B$212,0)))</f>
        <v/>
      </c>
      <c r="L57" s="51" t="str">
        <f>IF(ISERROR(INDEX(電線!M$8:M$212,MATCH($C57,電線!$B$8:$B$212,0)))=TRUE,"",INDEX(電線!M$8:M$212,MATCH($C57,電線!$B$8:$B$212,0)))</f>
        <v/>
      </c>
      <c r="M57" s="51" t="str">
        <f>IF(ISERROR(INDEX(電線!N$8:N$212,MATCH($C57,電線!$B$8:$B$212,0)))=TRUE,"",INDEX(電線!N$8:N$212,MATCH($C57,電線!$B$8:$B$212,0)))</f>
        <v/>
      </c>
      <c r="N57" s="51" t="str">
        <f>IF(ISERROR(INDEX(電線!O$8:O$212,MATCH($C57,電線!$B$8:$B$212,0)))=TRUE,"",INDEX(電線!O$8:O$212,MATCH($C57,電線!$B$8:$B$212,0)))</f>
        <v/>
      </c>
    </row>
    <row r="58" spans="2:14">
      <c r="B58" s="39" t="str">
        <f>IF(電圧降下計算!$A84="","",電圧降下計算!$A84)</f>
        <v/>
      </c>
      <c r="C58" s="39" t="str">
        <f>IF(電圧降下計算!$N84="","",電圧降下計算!$N84)</f>
        <v/>
      </c>
      <c r="D58" s="39" t="str">
        <f>IF(電圧降下計算!$O84="","",電圧降下計算!$O84)</f>
        <v/>
      </c>
      <c r="E58" s="51" t="str">
        <f t="shared" si="2"/>
        <v/>
      </c>
      <c r="F58" s="51" t="str">
        <f t="shared" si="3"/>
        <v/>
      </c>
      <c r="G58" s="51" t="str">
        <f t="shared" si="4"/>
        <v/>
      </c>
      <c r="H58" s="84" t="str">
        <f>IF(電圧降下計算!$T84="","",電圧降下計算!$T84)</f>
        <v/>
      </c>
      <c r="I58" s="51" t="str">
        <f>IF(ISERROR(INDEX(電線!H$8:H$212,MATCH($C58,電線!$B$8:$B$212,0)))=TRUE,"",INDEX(電線!H$8:H$212,MATCH($C58,電線!$B$8:$B$212,0)))</f>
        <v/>
      </c>
      <c r="J58" s="51" t="str">
        <f>IF(ISERROR(INDEX(電線!I$8:I$212,MATCH($C58,電線!$B$8:$B$212,0)))=TRUE,"",INDEX(電線!I$8:I$212,MATCH($C58,電線!$B$8:$B$212,0)))</f>
        <v/>
      </c>
      <c r="K58" s="51" t="str">
        <f>IF(ISERROR(INDEX(電線!J$8:J$212,MATCH($C58,電線!$B$8:$B$212,0)))=TRUE,"",INDEX(電線!J$8:J$212,MATCH($C58,電線!$B$8:$B$212,0)))</f>
        <v/>
      </c>
      <c r="L58" s="51" t="str">
        <f>IF(ISERROR(INDEX(電線!M$8:M$212,MATCH($C58,電線!$B$8:$B$212,0)))=TRUE,"",INDEX(電線!M$8:M$212,MATCH($C58,電線!$B$8:$B$212,0)))</f>
        <v/>
      </c>
      <c r="M58" s="51" t="str">
        <f>IF(ISERROR(INDEX(電線!N$8:N$212,MATCH($C58,電線!$B$8:$B$212,0)))=TRUE,"",INDEX(電線!N$8:N$212,MATCH($C58,電線!$B$8:$B$212,0)))</f>
        <v/>
      </c>
      <c r="N58" s="51" t="str">
        <f>IF(ISERROR(INDEX(電線!O$8:O$212,MATCH($C58,電線!$B$8:$B$212,0)))=TRUE,"",INDEX(電線!O$8:O$212,MATCH($C58,電線!$B$8:$B$212,0)))</f>
        <v/>
      </c>
    </row>
    <row r="59" spans="2:14">
      <c r="B59" s="39" t="str">
        <f>IF(電圧降下計算!$A88="","",電圧降下計算!$A88)</f>
        <v/>
      </c>
      <c r="C59" s="39" t="str">
        <f>IF(電圧降下計算!$N88="","",電圧降下計算!$N88)</f>
        <v/>
      </c>
      <c r="D59" s="39" t="str">
        <f>IF(電圧降下計算!$O88="","",電圧降下計算!$O88)</f>
        <v/>
      </c>
      <c r="E59" s="51" t="str">
        <f t="shared" si="2"/>
        <v/>
      </c>
      <c r="F59" s="51" t="str">
        <f t="shared" si="3"/>
        <v/>
      </c>
      <c r="G59" s="51" t="str">
        <f t="shared" si="4"/>
        <v/>
      </c>
      <c r="H59" s="84" t="str">
        <f>IF(電圧降下計算!$T88="","",電圧降下計算!$T88)</f>
        <v/>
      </c>
      <c r="I59" s="51" t="str">
        <f>IF(ISERROR(INDEX(電線!H$8:H$212,MATCH($C59,電線!$B$8:$B$212,0)))=TRUE,"",INDEX(電線!H$8:H$212,MATCH($C59,電線!$B$8:$B$212,0)))</f>
        <v/>
      </c>
      <c r="J59" s="51" t="str">
        <f>IF(ISERROR(INDEX(電線!I$8:I$212,MATCH($C59,電線!$B$8:$B$212,0)))=TRUE,"",INDEX(電線!I$8:I$212,MATCH($C59,電線!$B$8:$B$212,0)))</f>
        <v/>
      </c>
      <c r="K59" s="51" t="str">
        <f>IF(ISERROR(INDEX(電線!J$8:J$212,MATCH($C59,電線!$B$8:$B$212,0)))=TRUE,"",INDEX(電線!J$8:J$212,MATCH($C59,電線!$B$8:$B$212,0)))</f>
        <v/>
      </c>
      <c r="L59" s="51" t="str">
        <f>IF(ISERROR(INDEX(電線!M$8:M$212,MATCH($C59,電線!$B$8:$B$212,0)))=TRUE,"",INDEX(電線!M$8:M$212,MATCH($C59,電線!$B$8:$B$212,0)))</f>
        <v/>
      </c>
      <c r="M59" s="51" t="str">
        <f>IF(ISERROR(INDEX(電線!N$8:N$212,MATCH($C59,電線!$B$8:$B$212,0)))=TRUE,"",INDEX(電線!N$8:N$212,MATCH($C59,電線!$B$8:$B$212,0)))</f>
        <v/>
      </c>
      <c r="N59" s="51" t="str">
        <f>IF(ISERROR(INDEX(電線!O$8:O$212,MATCH($C59,電線!$B$8:$B$212,0)))=TRUE,"",INDEX(電線!O$8:O$212,MATCH($C59,電線!$B$8:$B$212,0)))</f>
        <v/>
      </c>
    </row>
    <row r="60" spans="2:14">
      <c r="B60" s="39" t="str">
        <f>IF(電圧降下計算!$A92="","",電圧降下計算!$A92)</f>
        <v/>
      </c>
      <c r="C60" s="39" t="str">
        <f>IF(電圧降下計算!$N92="","",電圧降下計算!$N92)</f>
        <v/>
      </c>
      <c r="D60" s="39" t="str">
        <f>IF(電圧降下計算!$O92="","",電圧降下計算!$O92)</f>
        <v/>
      </c>
      <c r="E60" s="51" t="str">
        <f t="shared" si="2"/>
        <v/>
      </c>
      <c r="F60" s="51" t="str">
        <f t="shared" si="3"/>
        <v/>
      </c>
      <c r="G60" s="51" t="str">
        <f t="shared" si="4"/>
        <v/>
      </c>
      <c r="H60" s="84" t="str">
        <f>IF(電圧降下計算!$T92="","",電圧降下計算!$T92)</f>
        <v/>
      </c>
      <c r="I60" s="51" t="str">
        <f>IF(ISERROR(INDEX(電線!H$8:H$212,MATCH($C60,電線!$B$8:$B$212,0)))=TRUE,"",INDEX(電線!H$8:H$212,MATCH($C60,電線!$B$8:$B$212,0)))</f>
        <v/>
      </c>
      <c r="J60" s="51" t="str">
        <f>IF(ISERROR(INDEX(電線!I$8:I$212,MATCH($C60,電線!$B$8:$B$212,0)))=TRUE,"",INDEX(電線!I$8:I$212,MATCH($C60,電線!$B$8:$B$212,0)))</f>
        <v/>
      </c>
      <c r="K60" s="51" t="str">
        <f>IF(ISERROR(INDEX(電線!J$8:J$212,MATCH($C60,電線!$B$8:$B$212,0)))=TRUE,"",INDEX(電線!J$8:J$212,MATCH($C60,電線!$B$8:$B$212,0)))</f>
        <v/>
      </c>
      <c r="L60" s="51" t="str">
        <f>IF(ISERROR(INDEX(電線!M$8:M$212,MATCH($C60,電線!$B$8:$B$212,0)))=TRUE,"",INDEX(電線!M$8:M$212,MATCH($C60,電線!$B$8:$B$212,0)))</f>
        <v/>
      </c>
      <c r="M60" s="51" t="str">
        <f>IF(ISERROR(INDEX(電線!N$8:N$212,MATCH($C60,電線!$B$8:$B$212,0)))=TRUE,"",INDEX(電線!N$8:N$212,MATCH($C60,電線!$B$8:$B$212,0)))</f>
        <v/>
      </c>
      <c r="N60" s="51" t="str">
        <f>IF(ISERROR(INDEX(電線!O$8:O$212,MATCH($C60,電線!$B$8:$B$212,0)))=TRUE,"",INDEX(電線!O$8:O$212,MATCH($C60,電線!$B$8:$B$212,0)))</f>
        <v/>
      </c>
    </row>
  </sheetData>
  <phoneticPr fontId="21"/>
  <pageMargins left="0.7" right="0.7" top="0.75" bottom="0.75" header="0.3" footer="0.3"/>
  <ignoredErrors>
    <ignoredError sqref="F39:G6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557B-F75B-4BE6-94BB-86472E66999F}">
  <dimension ref="B2:I26"/>
  <sheetViews>
    <sheetView workbookViewId="0">
      <selection activeCell="B3" sqref="B3"/>
    </sheetView>
  </sheetViews>
  <sheetFormatPr defaultRowHeight="13.5"/>
  <cols>
    <col min="2" max="9" width="18.625" customWidth="1"/>
  </cols>
  <sheetData>
    <row r="2" spans="2:9">
      <c r="B2" t="s">
        <v>251</v>
      </c>
      <c r="C2" s="39" t="s">
        <v>248</v>
      </c>
      <c r="D2" s="60" t="str">
        <f>IF(電圧降下計算!$O$3="","",電圧降下計算!$O$3)</f>
        <v/>
      </c>
    </row>
    <row r="3" spans="2:9">
      <c r="B3" s="35" t="s">
        <v>252</v>
      </c>
      <c r="C3" s="35" t="s">
        <v>255</v>
      </c>
      <c r="D3" s="35" t="s">
        <v>217</v>
      </c>
      <c r="E3" s="36" t="s">
        <v>254</v>
      </c>
      <c r="F3" s="40"/>
      <c r="G3" s="40"/>
      <c r="H3" s="40"/>
      <c r="I3" s="37"/>
    </row>
    <row r="4" spans="2:9">
      <c r="B4" s="83"/>
      <c r="C4" s="83"/>
      <c r="D4" s="83"/>
      <c r="E4" s="46" t="s">
        <v>253</v>
      </c>
      <c r="F4" s="35" t="s">
        <v>202</v>
      </c>
      <c r="G4" s="39" t="s">
        <v>236</v>
      </c>
      <c r="H4" s="39" t="s">
        <v>249</v>
      </c>
      <c r="I4" s="39" t="s">
        <v>250</v>
      </c>
    </row>
    <row r="5" spans="2:9">
      <c r="B5" s="39" t="str">
        <f>IF(電圧降下計算!$A8="","",電圧降下計算!$A8)</f>
        <v/>
      </c>
      <c r="C5" s="39" t="str">
        <f>IF(電圧降下計算!$C8="","",電圧降下計算!$C8)</f>
        <v/>
      </c>
      <c r="D5" s="85" t="str">
        <f>IF(電圧降下計算!$I8="","",電圧降下計算!$I8)</f>
        <v/>
      </c>
      <c r="E5" s="60" t="str">
        <f>IF($G5="","",$F5*($G5*0.01))</f>
        <v/>
      </c>
      <c r="F5" s="60" t="str">
        <f>IF(ISERROR(INDEX(電圧!$C4:$C8,MATCH($C5,電圧!$B$4:$B$8,0)))=TRUE,"",INDEX(電圧!$C4:$C8,MATCH($C5,電圧!$B$4:$B$8,0)))</f>
        <v/>
      </c>
      <c r="G5" s="60" t="str">
        <f t="shared" ref="G5:G26" si="0">IF(ISERROR(INDEX(H5:I5,MATCH($D$2,H$4:I$4,0)))=TRUE,"",INDEX(H5:I5,MATCH($D$2,H$4:I$4,0)))</f>
        <v/>
      </c>
      <c r="H5" s="60">
        <f>IF($D5&gt;電圧降下!$D$4,電圧降下!$E$5,IF($D5&gt;電圧降下!$C$4,電圧降下!$D$5,IF($D5&gt;=0,電圧降下!$C$5,"")))</f>
        <v>5</v>
      </c>
      <c r="I5" s="60">
        <f>IF($D5&gt;電圧降下!$G$4,電圧降下!$H$5,IF($D5&gt;電圧降下!$F$4,電圧降下!$G$5,IF($D5&gt;=0,電圧降下!$F$5,"")))</f>
        <v>6</v>
      </c>
    </row>
    <row r="6" spans="2:9">
      <c r="B6" s="39" t="str">
        <f>IF(電圧降下計算!$A12="","",電圧降下計算!$A12)</f>
        <v/>
      </c>
      <c r="C6" s="39" t="str">
        <f>IF(電圧降下計算!$C12="","",電圧降下計算!$C12)</f>
        <v/>
      </c>
      <c r="D6" s="85" t="str">
        <f>IF(電圧降下計算!$I12="","",電圧降下計算!$I12)</f>
        <v/>
      </c>
      <c r="E6" s="60" t="str">
        <f t="shared" ref="E6:E26" si="1">IF($G6="","",$F6*($G6*0.01))</f>
        <v/>
      </c>
      <c r="F6" s="60" t="str">
        <f>IF(ISERROR(INDEX(電圧!$C4:$C9,MATCH($C6,電圧!$B$4:$B$8,0)))=TRUE,"",INDEX(電圧!$C4:$C9,MATCH($C6,電圧!$B$4:$B$8,0)))</f>
        <v/>
      </c>
      <c r="G6" s="60" t="str">
        <f t="shared" si="0"/>
        <v/>
      </c>
      <c r="H6" s="60">
        <f>IF($D6&gt;電圧降下!$D$4,電圧降下!$E$5,IF($D6&gt;電圧降下!$C$4,電圧降下!$D$5,IF($D6&gt;=0,電圧降下!$C$5,"")))</f>
        <v>5</v>
      </c>
      <c r="I6" s="60">
        <f>IF($D6&gt;電圧降下!$G$4,電圧降下!$H$5,IF($D6&gt;電圧降下!$F$4,電圧降下!$G$5,IF($D6&gt;=0,電圧降下!$F$5,"")))</f>
        <v>6</v>
      </c>
    </row>
    <row r="7" spans="2:9">
      <c r="B7" s="39" t="str">
        <f>IF(電圧降下計算!$A16="","",電圧降下計算!$A16)</f>
        <v/>
      </c>
      <c r="C7" s="39" t="str">
        <f>IF(電圧降下計算!$C16="","",電圧降下計算!$C16)</f>
        <v/>
      </c>
      <c r="D7" s="85" t="str">
        <f>IF(電圧降下計算!$I16="","",電圧降下計算!$I16)</f>
        <v/>
      </c>
      <c r="E7" s="60" t="str">
        <f t="shared" si="1"/>
        <v/>
      </c>
      <c r="F7" s="60" t="str">
        <f>IF(ISERROR(INDEX(電圧!$C4:$C10,MATCH($C7,電圧!$B$4:$B$8,0)))=TRUE,"",INDEX(電圧!$C4:$C10,MATCH($C7,電圧!$B$4:$B$8,0)))</f>
        <v/>
      </c>
      <c r="G7" s="60" t="str">
        <f t="shared" si="0"/>
        <v/>
      </c>
      <c r="H7" s="60">
        <f>IF($D7&gt;電圧降下!$D$4,電圧降下!$E$5,IF($D7&gt;電圧降下!$C$4,電圧降下!$D$5,IF($D7&gt;=0,電圧降下!$C$5,"")))</f>
        <v>5</v>
      </c>
      <c r="I7" s="60">
        <f>IF($D7&gt;電圧降下!$G$4,電圧降下!$H$5,IF($D7&gt;電圧降下!$F$4,電圧降下!$G$5,IF($D7&gt;=0,電圧降下!$F$5,"")))</f>
        <v>6</v>
      </c>
    </row>
    <row r="8" spans="2:9">
      <c r="B8" s="39" t="str">
        <f>IF(電圧降下計算!$A20="","",電圧降下計算!$A20)</f>
        <v/>
      </c>
      <c r="C8" s="39" t="str">
        <f>IF(電圧降下計算!$C20="","",電圧降下計算!$C20)</f>
        <v/>
      </c>
      <c r="D8" s="85" t="str">
        <f>IF(電圧降下計算!$I20="","",電圧降下計算!$I20)</f>
        <v/>
      </c>
      <c r="E8" s="60" t="str">
        <f t="shared" si="1"/>
        <v/>
      </c>
      <c r="F8" s="60" t="str">
        <f>IF(ISERROR(INDEX(電圧!$C4:$C11,MATCH($C8,電圧!$B$4:$B$8,0)))=TRUE,"",INDEX(電圧!$C4:$C11,MATCH($C8,電圧!$B$4:$B$8,0)))</f>
        <v/>
      </c>
      <c r="G8" s="60" t="str">
        <f t="shared" si="0"/>
        <v/>
      </c>
      <c r="H8" s="60">
        <f>IF($D8&gt;電圧降下!$D$4,電圧降下!$E$5,IF($D8&gt;電圧降下!$C$4,電圧降下!$D$5,IF($D8&gt;=0,電圧降下!$C$5,"")))</f>
        <v>5</v>
      </c>
      <c r="I8" s="60">
        <f>IF($D8&gt;電圧降下!$G$4,電圧降下!$H$5,IF($D8&gt;電圧降下!$F$4,電圧降下!$G$5,IF($D8&gt;=0,電圧降下!$F$5,"")))</f>
        <v>6</v>
      </c>
    </row>
    <row r="9" spans="2:9">
      <c r="B9" s="39" t="str">
        <f>IF(電圧降下計算!$A24="","",電圧降下計算!$A24)</f>
        <v/>
      </c>
      <c r="C9" s="39" t="str">
        <f>IF(電圧降下計算!$C24="","",電圧降下計算!$C24)</f>
        <v/>
      </c>
      <c r="D9" s="85" t="str">
        <f>IF(電圧降下計算!$I24="","",電圧降下計算!$I24)</f>
        <v/>
      </c>
      <c r="E9" s="60" t="str">
        <f t="shared" si="1"/>
        <v/>
      </c>
      <c r="F9" s="60" t="str">
        <f>IF(ISERROR(INDEX(電圧!$C4:$C12,MATCH($C9,電圧!$B$4:$B$8,0)))=TRUE,"",INDEX(電圧!$C4:$C12,MATCH($C9,電圧!$B$4:$B$8,0)))</f>
        <v/>
      </c>
      <c r="G9" s="60" t="str">
        <f t="shared" si="0"/>
        <v/>
      </c>
      <c r="H9" s="60">
        <f>IF($D9&gt;電圧降下!$D$4,電圧降下!$E$5,IF($D9&gt;電圧降下!$C$4,電圧降下!$D$5,IF($D9&gt;=0,電圧降下!$C$5,"")))</f>
        <v>5</v>
      </c>
      <c r="I9" s="60">
        <f>IF($D9&gt;電圧降下!$G$4,電圧降下!$H$5,IF($D9&gt;電圧降下!$F$4,電圧降下!$G$5,IF($D9&gt;=0,電圧降下!$F$5,"")))</f>
        <v>6</v>
      </c>
    </row>
    <row r="10" spans="2:9">
      <c r="B10" s="39" t="str">
        <f>IF(電圧降下計算!$A28="","",電圧降下計算!$A28)</f>
        <v/>
      </c>
      <c r="C10" s="39" t="str">
        <f>IF(電圧降下計算!$C28="","",電圧降下計算!$C28)</f>
        <v/>
      </c>
      <c r="D10" s="85" t="str">
        <f>IF(電圧降下計算!$I28="","",電圧降下計算!$I28)</f>
        <v/>
      </c>
      <c r="E10" s="60" t="str">
        <f t="shared" si="1"/>
        <v/>
      </c>
      <c r="F10" s="60" t="str">
        <f>IF(ISERROR(INDEX(電圧!$C4:$C13,MATCH($C10,電圧!$B$4:$B$8,0)))=TRUE,"",INDEX(電圧!$C4:$C13,MATCH($C10,電圧!$B$4:$B$8,0)))</f>
        <v/>
      </c>
      <c r="G10" s="60" t="str">
        <f t="shared" si="0"/>
        <v/>
      </c>
      <c r="H10" s="60">
        <f>IF($D10&gt;電圧降下!$D$4,電圧降下!$E$5,IF($D10&gt;電圧降下!$C$4,電圧降下!$D$5,IF($D10&gt;=0,電圧降下!$C$5,"")))</f>
        <v>5</v>
      </c>
      <c r="I10" s="60">
        <f>IF($D10&gt;電圧降下!$G$4,電圧降下!$H$5,IF($D10&gt;電圧降下!$F$4,電圧降下!$G$5,IF($D10&gt;=0,電圧降下!$F$5,"")))</f>
        <v>6</v>
      </c>
    </row>
    <row r="11" spans="2:9">
      <c r="B11" s="39" t="str">
        <f>IF(電圧降下計算!$A32="","",電圧降下計算!$A32)</f>
        <v/>
      </c>
      <c r="C11" s="39" t="str">
        <f>IF(電圧降下計算!$C32="","",電圧降下計算!$C32)</f>
        <v/>
      </c>
      <c r="D11" s="85" t="str">
        <f>IF(電圧降下計算!$I32="","",電圧降下計算!$I32)</f>
        <v/>
      </c>
      <c r="E11" s="60" t="str">
        <f t="shared" si="1"/>
        <v/>
      </c>
      <c r="F11" s="60" t="str">
        <f>IF(ISERROR(INDEX(電圧!$C4:$C14,MATCH($C11,電圧!$B$4:$B$8,0)))=TRUE,"",INDEX(電圧!$C4:$C14,MATCH($C11,電圧!$B$4:$B$8,0)))</f>
        <v/>
      </c>
      <c r="G11" s="60" t="str">
        <f t="shared" si="0"/>
        <v/>
      </c>
      <c r="H11" s="60">
        <f>IF($D11&gt;電圧降下!$D$4,電圧降下!$E$5,IF($D11&gt;電圧降下!$C$4,電圧降下!$D$5,IF($D11&gt;=0,電圧降下!$C$5,"")))</f>
        <v>5</v>
      </c>
      <c r="I11" s="60">
        <f>IF($D11&gt;電圧降下!$G$4,電圧降下!$H$5,IF($D11&gt;電圧降下!$F$4,電圧降下!$G$5,IF($D11&gt;=0,電圧降下!$F$5,"")))</f>
        <v>6</v>
      </c>
    </row>
    <row r="12" spans="2:9">
      <c r="B12" s="39" t="str">
        <f>IF(電圧降下計算!$A36="","",電圧降下計算!$A36)</f>
        <v/>
      </c>
      <c r="C12" s="39" t="str">
        <f>IF(電圧降下計算!$C36="","",電圧降下計算!$C36)</f>
        <v/>
      </c>
      <c r="D12" s="85" t="str">
        <f>IF(電圧降下計算!$I36="","",電圧降下計算!$I36)</f>
        <v/>
      </c>
      <c r="E12" s="60" t="str">
        <f t="shared" si="1"/>
        <v/>
      </c>
      <c r="F12" s="60" t="str">
        <f>IF(ISERROR(INDEX(電圧!$C4:$C15,MATCH($C12,電圧!$B$4:$B$8,0)))=TRUE,"",INDEX(電圧!$C4:$C15,MATCH($C12,電圧!$B$4:$B$8,0)))</f>
        <v/>
      </c>
      <c r="G12" s="60" t="str">
        <f t="shared" si="0"/>
        <v/>
      </c>
      <c r="H12" s="60">
        <f>IF($D12&gt;電圧降下!$D$4,電圧降下!$E$5,IF($D12&gt;電圧降下!$C$4,電圧降下!$D$5,IF($D12&gt;=0,電圧降下!$C$5,"")))</f>
        <v>5</v>
      </c>
      <c r="I12" s="60">
        <f>IF($D12&gt;電圧降下!$G$4,電圧降下!$H$5,IF($D12&gt;電圧降下!$F$4,電圧降下!$G$5,IF($D12&gt;=0,電圧降下!$F$5,"")))</f>
        <v>6</v>
      </c>
    </row>
    <row r="13" spans="2:9">
      <c r="B13" s="39" t="str">
        <f>IF(電圧降下計算!$A40="","",電圧降下計算!$A40)</f>
        <v/>
      </c>
      <c r="C13" s="39" t="str">
        <f>IF(電圧降下計算!$C40="","",電圧降下計算!$C40)</f>
        <v/>
      </c>
      <c r="D13" s="85" t="str">
        <f>IF(電圧降下計算!$I40="","",電圧降下計算!$I40)</f>
        <v/>
      </c>
      <c r="E13" s="60" t="str">
        <f t="shared" si="1"/>
        <v/>
      </c>
      <c r="F13" s="60" t="str">
        <f>IF(ISERROR(INDEX(電圧!$C4:$C16,MATCH($C13,電圧!$B$4:$B$8,0)))=TRUE,"",INDEX(電圧!$C4:$C16,MATCH($C13,電圧!$B$4:$B$8,0)))</f>
        <v/>
      </c>
      <c r="G13" s="60" t="str">
        <f t="shared" si="0"/>
        <v/>
      </c>
      <c r="H13" s="60">
        <f>IF($D13&gt;電圧降下!$D$4,電圧降下!$E$5,IF($D13&gt;電圧降下!$C$4,電圧降下!$D$5,IF($D13&gt;=0,電圧降下!$C$5,"")))</f>
        <v>5</v>
      </c>
      <c r="I13" s="60">
        <f>IF($D13&gt;電圧降下!$G$4,電圧降下!$H$5,IF($D13&gt;電圧降下!$F$4,電圧降下!$G$5,IF($D13&gt;=0,電圧降下!$F$5,"")))</f>
        <v>6</v>
      </c>
    </row>
    <row r="14" spans="2:9">
      <c r="B14" s="39" t="str">
        <f>IF(電圧降下計算!$A44="","",電圧降下計算!$A44)</f>
        <v/>
      </c>
      <c r="C14" s="39" t="str">
        <f>IF(電圧降下計算!$C44="","",電圧降下計算!$C44)</f>
        <v/>
      </c>
      <c r="D14" s="85" t="str">
        <f>IF(電圧降下計算!$I44="","",電圧降下計算!$I44)</f>
        <v/>
      </c>
      <c r="E14" s="60" t="str">
        <f t="shared" si="1"/>
        <v/>
      </c>
      <c r="F14" s="60" t="str">
        <f>IF(ISERROR(INDEX(電圧!$C4:$C17,MATCH($C14,電圧!$B$4:$B$8,0)))=TRUE,"",INDEX(電圧!$C4:$C17,MATCH($C14,電圧!$B$4:$B$8,0)))</f>
        <v/>
      </c>
      <c r="G14" s="60" t="str">
        <f t="shared" si="0"/>
        <v/>
      </c>
      <c r="H14" s="60">
        <f>IF($D14&gt;電圧降下!$D$4,電圧降下!$E$5,IF($D14&gt;電圧降下!$C$4,電圧降下!$D$5,IF($D14&gt;=0,電圧降下!$C$5,"")))</f>
        <v>5</v>
      </c>
      <c r="I14" s="60">
        <f>IF($D14&gt;電圧降下!$G$4,電圧降下!$H$5,IF($D14&gt;電圧降下!$F$4,電圧降下!$G$5,IF($D14&gt;=0,電圧降下!$F$5,"")))</f>
        <v>6</v>
      </c>
    </row>
    <row r="15" spans="2:9">
      <c r="B15" s="39" t="str">
        <f>IF(電圧降下計算!$A48="","",電圧降下計算!$A48)</f>
        <v/>
      </c>
      <c r="C15" s="39" t="str">
        <f>IF(電圧降下計算!$C48="","",電圧降下計算!$C48)</f>
        <v/>
      </c>
      <c r="D15" s="85" t="str">
        <f>IF(電圧降下計算!$I48="","",電圧降下計算!$I48)</f>
        <v/>
      </c>
      <c r="E15" s="60" t="str">
        <f t="shared" si="1"/>
        <v/>
      </c>
      <c r="F15" s="60" t="str">
        <f>IF(ISERROR(INDEX(電圧!$C4:$C18,MATCH($C15,電圧!$B$4:$B$8,0)))=TRUE,"",INDEX(電圧!$C4:$C18,MATCH($C15,電圧!$B$4:$B$8,0)))</f>
        <v/>
      </c>
      <c r="G15" s="60" t="str">
        <f t="shared" si="0"/>
        <v/>
      </c>
      <c r="H15" s="60">
        <f>IF($D15&gt;電圧降下!$D$4,電圧降下!$E$5,IF($D15&gt;電圧降下!$C$4,電圧降下!$D$5,IF($D15&gt;=0,電圧降下!$C$5,"")))</f>
        <v>5</v>
      </c>
      <c r="I15" s="60">
        <f>IF($D15&gt;電圧降下!$G$4,電圧降下!$H$5,IF($D15&gt;電圧降下!$F$4,電圧降下!$G$5,IF($D15&gt;=0,電圧降下!$F$5,"")))</f>
        <v>6</v>
      </c>
    </row>
    <row r="16" spans="2:9">
      <c r="B16" s="39" t="str">
        <f>IF(電圧降下計算!$A52="","",電圧降下計算!$A52)</f>
        <v/>
      </c>
      <c r="C16" s="39" t="str">
        <f>IF(電圧降下計算!$C52="","",電圧降下計算!$C52)</f>
        <v/>
      </c>
      <c r="D16" s="85" t="str">
        <f>IF(電圧降下計算!$I52="","",電圧降下計算!$I52)</f>
        <v/>
      </c>
      <c r="E16" s="60" t="str">
        <f t="shared" si="1"/>
        <v/>
      </c>
      <c r="F16" s="60" t="str">
        <f>IF(ISERROR(INDEX(電圧!$C4:$C19,MATCH($C16,電圧!$B$4:$B$8,0)))=TRUE,"",INDEX(電圧!$C4:$C19,MATCH($C16,電圧!$B$4:$B$8,0)))</f>
        <v/>
      </c>
      <c r="G16" s="60" t="str">
        <f t="shared" si="0"/>
        <v/>
      </c>
      <c r="H16" s="60">
        <f>IF($D16&gt;電圧降下!$D$4,電圧降下!$E$5,IF($D16&gt;電圧降下!$C$4,電圧降下!$D$5,IF($D16&gt;=0,電圧降下!$C$5,"")))</f>
        <v>5</v>
      </c>
      <c r="I16" s="60">
        <f>IF($D16&gt;電圧降下!$G$4,電圧降下!$H$5,IF($D16&gt;電圧降下!$F$4,電圧降下!$G$5,IF($D16&gt;=0,電圧降下!$F$5,"")))</f>
        <v>6</v>
      </c>
    </row>
    <row r="17" spans="2:9">
      <c r="B17" s="39" t="str">
        <f>IF(電圧降下計算!$A56="","",電圧降下計算!$A56)</f>
        <v/>
      </c>
      <c r="C17" s="39" t="str">
        <f>IF(電圧降下計算!$C56="","",電圧降下計算!$C56)</f>
        <v/>
      </c>
      <c r="D17" s="85" t="str">
        <f>IF(電圧降下計算!$I56="","",電圧降下計算!$I56)</f>
        <v/>
      </c>
      <c r="E17" s="60" t="str">
        <f t="shared" si="1"/>
        <v/>
      </c>
      <c r="F17" s="60" t="str">
        <f>IF(ISERROR(INDEX(電圧!$C4:$C20,MATCH($C17,電圧!$B$4:$B$8,0)))=TRUE,"",INDEX(電圧!$C4:$C20,MATCH($C17,電圧!$B$4:$B$8,0)))</f>
        <v/>
      </c>
      <c r="G17" s="60" t="str">
        <f t="shared" si="0"/>
        <v/>
      </c>
      <c r="H17" s="60">
        <f>IF($D17&gt;電圧降下!$D$4,電圧降下!$E$5,IF($D17&gt;電圧降下!$C$4,電圧降下!$D$5,IF($D17&gt;=0,電圧降下!$C$5,"")))</f>
        <v>5</v>
      </c>
      <c r="I17" s="60">
        <f>IF($D17&gt;電圧降下!$G$4,電圧降下!$H$5,IF($D17&gt;電圧降下!$F$4,電圧降下!$G$5,IF($D17&gt;=0,電圧降下!$F$5,"")))</f>
        <v>6</v>
      </c>
    </row>
    <row r="18" spans="2:9">
      <c r="B18" s="39" t="str">
        <f>IF(電圧降下計算!$A60="","",電圧降下計算!$A60)</f>
        <v/>
      </c>
      <c r="C18" s="39" t="str">
        <f>IF(電圧降下計算!$C60="","",電圧降下計算!$C60)</f>
        <v/>
      </c>
      <c r="D18" s="85" t="str">
        <f>IF(電圧降下計算!$I60="","",電圧降下計算!$I60)</f>
        <v/>
      </c>
      <c r="E18" s="60" t="str">
        <f t="shared" si="1"/>
        <v/>
      </c>
      <c r="F18" s="60" t="str">
        <f>IF(ISERROR(INDEX(電圧!$C4:$C21,MATCH($C18,電圧!$B$4:$B$8,0)))=TRUE,"",INDEX(電圧!$C4:$C21,MATCH($C18,電圧!$B$4:$B$8,0)))</f>
        <v/>
      </c>
      <c r="G18" s="60" t="str">
        <f t="shared" si="0"/>
        <v/>
      </c>
      <c r="H18" s="60">
        <f>IF($D18&gt;電圧降下!$D$4,電圧降下!$E$5,IF($D18&gt;電圧降下!$C$4,電圧降下!$D$5,IF($D18&gt;=0,電圧降下!$C$5,"")))</f>
        <v>5</v>
      </c>
      <c r="I18" s="60">
        <f>IF($D18&gt;電圧降下!$G$4,電圧降下!$H$5,IF($D18&gt;電圧降下!$F$4,電圧降下!$G$5,IF($D18&gt;=0,電圧降下!$F$5,"")))</f>
        <v>6</v>
      </c>
    </row>
    <row r="19" spans="2:9">
      <c r="B19" s="39" t="str">
        <f>IF(電圧降下計算!$A64="","",電圧降下計算!$A64)</f>
        <v/>
      </c>
      <c r="C19" s="39" t="str">
        <f>IF(電圧降下計算!$C64="","",電圧降下計算!$C64)</f>
        <v/>
      </c>
      <c r="D19" s="85" t="str">
        <f>IF(電圧降下計算!$I64="","",電圧降下計算!$I64)</f>
        <v/>
      </c>
      <c r="E19" s="60" t="str">
        <f t="shared" si="1"/>
        <v/>
      </c>
      <c r="F19" s="60" t="str">
        <f>IF(ISERROR(INDEX(電圧!$C4:$C22,MATCH($C19,電圧!$B$4:$B$8,0)))=TRUE,"",INDEX(電圧!$C4:$C22,MATCH($C19,電圧!$B$4:$B$8,0)))</f>
        <v/>
      </c>
      <c r="G19" s="60" t="str">
        <f t="shared" si="0"/>
        <v/>
      </c>
      <c r="H19" s="60">
        <f>IF($D19&gt;電圧降下!$D$4,電圧降下!$E$5,IF($D19&gt;電圧降下!$C$4,電圧降下!$D$5,IF($D19&gt;=0,電圧降下!$C$5,"")))</f>
        <v>5</v>
      </c>
      <c r="I19" s="60">
        <f>IF($D19&gt;電圧降下!$G$4,電圧降下!$H$5,IF($D19&gt;電圧降下!$F$4,電圧降下!$G$5,IF($D19&gt;=0,電圧降下!$F$5,"")))</f>
        <v>6</v>
      </c>
    </row>
    <row r="20" spans="2:9">
      <c r="B20" s="39" t="str">
        <f>IF(電圧降下計算!$A68="","",電圧降下計算!$A68)</f>
        <v/>
      </c>
      <c r="C20" s="39" t="str">
        <f>IF(電圧降下計算!$C68="","",電圧降下計算!$C68)</f>
        <v/>
      </c>
      <c r="D20" s="85" t="str">
        <f>IF(電圧降下計算!$I68="","",電圧降下計算!$I68)</f>
        <v/>
      </c>
      <c r="E20" s="60" t="str">
        <f t="shared" si="1"/>
        <v/>
      </c>
      <c r="F20" s="60" t="str">
        <f>IF(ISERROR(INDEX(電圧!$C4:$C23,MATCH($C20,電圧!$B$4:$B$8,0)))=TRUE,"",INDEX(電圧!$C4:$C23,MATCH($C20,電圧!$B$4:$B$8,0)))</f>
        <v/>
      </c>
      <c r="G20" s="60" t="str">
        <f t="shared" si="0"/>
        <v/>
      </c>
      <c r="H20" s="60">
        <f>IF($D20&gt;電圧降下!$D$4,電圧降下!$E$5,IF($D20&gt;電圧降下!$C$4,電圧降下!$D$5,IF($D20&gt;=0,電圧降下!$C$5,"")))</f>
        <v>5</v>
      </c>
      <c r="I20" s="60">
        <f>IF($D20&gt;電圧降下!$G$4,電圧降下!$H$5,IF($D20&gt;電圧降下!$F$4,電圧降下!$G$5,IF($D20&gt;=0,電圧降下!$F$5,"")))</f>
        <v>6</v>
      </c>
    </row>
    <row r="21" spans="2:9">
      <c r="B21" s="39" t="str">
        <f>IF(電圧降下計算!$A72="","",電圧降下計算!$A72)</f>
        <v/>
      </c>
      <c r="C21" s="39" t="str">
        <f>IF(電圧降下計算!$C72="","",電圧降下計算!$C72)</f>
        <v/>
      </c>
      <c r="D21" s="85" t="str">
        <f>IF(電圧降下計算!$I72="","",電圧降下計算!$I72)</f>
        <v/>
      </c>
      <c r="E21" s="60" t="str">
        <f t="shared" si="1"/>
        <v/>
      </c>
      <c r="F21" s="60" t="str">
        <f>IF(ISERROR(INDEX(電圧!$C4:$C24,MATCH($C21,電圧!$B$4:$B$8,0)))=TRUE,"",INDEX(電圧!$C4:$C24,MATCH($C21,電圧!$B$4:$B$8,0)))</f>
        <v/>
      </c>
      <c r="G21" s="60" t="str">
        <f t="shared" si="0"/>
        <v/>
      </c>
      <c r="H21" s="60">
        <f>IF($D21&gt;電圧降下!$D$4,電圧降下!$E$5,IF($D21&gt;電圧降下!$C$4,電圧降下!$D$5,IF($D21&gt;=0,電圧降下!$C$5,"")))</f>
        <v>5</v>
      </c>
      <c r="I21" s="60">
        <f>IF($D21&gt;電圧降下!$G$4,電圧降下!$H$5,IF($D21&gt;電圧降下!$F$4,電圧降下!$G$5,IF($D21&gt;=0,電圧降下!$F$5,"")))</f>
        <v>6</v>
      </c>
    </row>
    <row r="22" spans="2:9">
      <c r="B22" s="39" t="str">
        <f>IF(電圧降下計算!$A76="","",電圧降下計算!$A76)</f>
        <v/>
      </c>
      <c r="C22" s="39" t="str">
        <f>IF(電圧降下計算!$C76="","",電圧降下計算!$C76)</f>
        <v/>
      </c>
      <c r="D22" s="85" t="str">
        <f>IF(電圧降下計算!$I76="","",電圧降下計算!$I76)</f>
        <v/>
      </c>
      <c r="E22" s="60" t="str">
        <f t="shared" si="1"/>
        <v/>
      </c>
      <c r="F22" s="60" t="str">
        <f>IF(ISERROR(INDEX(電圧!$C4:$C25,MATCH($C22,電圧!$B$4:$B$8,0)))=TRUE,"",INDEX(電圧!$C4:$C25,MATCH($C22,電圧!$B$4:$B$8,0)))</f>
        <v/>
      </c>
      <c r="G22" s="60" t="str">
        <f t="shared" si="0"/>
        <v/>
      </c>
      <c r="H22" s="60">
        <f>IF($D22&gt;電圧降下!$D$4,電圧降下!$E$5,IF($D22&gt;電圧降下!$C$4,電圧降下!$D$5,IF($D22&gt;=0,電圧降下!$C$5,"")))</f>
        <v>5</v>
      </c>
      <c r="I22" s="60">
        <f>IF($D22&gt;電圧降下!$G$4,電圧降下!$H$5,IF($D22&gt;電圧降下!$F$4,電圧降下!$G$5,IF($D22&gt;=0,電圧降下!$F$5,"")))</f>
        <v>6</v>
      </c>
    </row>
    <row r="23" spans="2:9">
      <c r="B23" s="39" t="str">
        <f>IF(電圧降下計算!$A80="","",電圧降下計算!$A80)</f>
        <v/>
      </c>
      <c r="C23" s="39" t="str">
        <f>IF(電圧降下計算!$C80="","",電圧降下計算!$C80)</f>
        <v/>
      </c>
      <c r="D23" s="85" t="str">
        <f>IF(電圧降下計算!$I80="","",電圧降下計算!$I80)</f>
        <v/>
      </c>
      <c r="E23" s="60" t="str">
        <f t="shared" si="1"/>
        <v/>
      </c>
      <c r="F23" s="60" t="str">
        <f>IF(ISERROR(INDEX(電圧!$C4:$C26,MATCH($C23,電圧!$B$4:$B$8,0)))=TRUE,"",INDEX(電圧!$C4:$C26,MATCH($C23,電圧!$B$4:$B$8,0)))</f>
        <v/>
      </c>
      <c r="G23" s="60" t="str">
        <f t="shared" si="0"/>
        <v/>
      </c>
      <c r="H23" s="60">
        <f>IF($D23&gt;電圧降下!$D$4,電圧降下!$E$5,IF($D23&gt;電圧降下!$C$4,電圧降下!$D$5,IF($D23&gt;=0,電圧降下!$C$5,"")))</f>
        <v>5</v>
      </c>
      <c r="I23" s="60">
        <f>IF($D23&gt;電圧降下!$G$4,電圧降下!$H$5,IF($D23&gt;電圧降下!$F$4,電圧降下!$G$5,IF($D23&gt;=0,電圧降下!$F$5,"")))</f>
        <v>6</v>
      </c>
    </row>
    <row r="24" spans="2:9">
      <c r="B24" s="39" t="str">
        <f>IF(電圧降下計算!$A84="","",電圧降下計算!$A84)</f>
        <v/>
      </c>
      <c r="C24" s="39" t="str">
        <f>IF(電圧降下計算!$C84="","",電圧降下計算!$C84)</f>
        <v/>
      </c>
      <c r="D24" s="85" t="str">
        <f>IF(電圧降下計算!$I84="","",電圧降下計算!$I84)</f>
        <v/>
      </c>
      <c r="E24" s="60" t="str">
        <f t="shared" si="1"/>
        <v/>
      </c>
      <c r="F24" s="60" t="str">
        <f>IF(ISERROR(INDEX(電圧!$C4:$C27,MATCH($C24,電圧!$B$4:$B$8,0)))=TRUE,"",INDEX(電圧!$C4:$C27,MATCH($C24,電圧!$B$4:$B$8,0)))</f>
        <v/>
      </c>
      <c r="G24" s="60" t="str">
        <f t="shared" si="0"/>
        <v/>
      </c>
      <c r="H24" s="60">
        <f>IF($D24&gt;電圧降下!$D$4,電圧降下!$E$5,IF($D24&gt;電圧降下!$C$4,電圧降下!$D$5,IF($D24&gt;=0,電圧降下!$C$5,"")))</f>
        <v>5</v>
      </c>
      <c r="I24" s="60">
        <f>IF($D24&gt;電圧降下!$G$4,電圧降下!$H$5,IF($D24&gt;電圧降下!$F$4,電圧降下!$G$5,IF($D24&gt;=0,電圧降下!$F$5,"")))</f>
        <v>6</v>
      </c>
    </row>
    <row r="25" spans="2:9">
      <c r="B25" s="39" t="str">
        <f>IF(電圧降下計算!$A88="","",電圧降下計算!$A88)</f>
        <v/>
      </c>
      <c r="C25" s="39" t="str">
        <f>IF(電圧降下計算!$C88="","",電圧降下計算!$C88)</f>
        <v/>
      </c>
      <c r="D25" s="85" t="str">
        <f>IF(電圧降下計算!$I88="","",電圧降下計算!$I88)</f>
        <v/>
      </c>
      <c r="E25" s="60" t="str">
        <f t="shared" si="1"/>
        <v/>
      </c>
      <c r="F25" s="60" t="str">
        <f>IF(ISERROR(INDEX(電圧!$C4:$C28,MATCH($C25,電圧!$B$4:$B$8,0)))=TRUE,"",INDEX(電圧!$C4:$C28,MATCH($C25,電圧!$B$4:$B$8,0)))</f>
        <v/>
      </c>
      <c r="G25" s="60" t="str">
        <f t="shared" si="0"/>
        <v/>
      </c>
      <c r="H25" s="60">
        <f>IF($D25&gt;電圧降下!$D$4,電圧降下!$E$5,IF($D25&gt;電圧降下!$C$4,電圧降下!$D$5,IF($D25&gt;=0,電圧降下!$C$5,"")))</f>
        <v>5</v>
      </c>
      <c r="I25" s="60">
        <f>IF($D25&gt;電圧降下!$G$4,電圧降下!$H$5,IF($D25&gt;電圧降下!$F$4,電圧降下!$G$5,IF($D25&gt;=0,電圧降下!$F$5,"")))</f>
        <v>6</v>
      </c>
    </row>
    <row r="26" spans="2:9">
      <c r="B26" s="39" t="str">
        <f>IF(電圧降下計算!$A92="","",電圧降下計算!$A92)</f>
        <v/>
      </c>
      <c r="C26" s="39" t="str">
        <f>IF(電圧降下計算!$C92="","",電圧降下計算!$C92)</f>
        <v/>
      </c>
      <c r="D26" s="85" t="str">
        <f>IF(電圧降下計算!$I92="","",電圧降下計算!$I92)</f>
        <v/>
      </c>
      <c r="E26" s="60" t="str">
        <f t="shared" si="1"/>
        <v/>
      </c>
      <c r="F26" s="60" t="str">
        <f>IF(ISERROR(INDEX(電圧!$C4:$C29,MATCH($C26,電圧!$B$4:$B$8,0)))=TRUE,"",INDEX(電圧!$C4:$C29,MATCH($C26,電圧!$B$4:$B$8,0)))</f>
        <v/>
      </c>
      <c r="G26" s="60" t="str">
        <f t="shared" si="0"/>
        <v/>
      </c>
      <c r="H26" s="60">
        <f>IF($D26&gt;電圧降下!$D$4,電圧降下!$E$5,IF($D26&gt;電圧降下!$C$4,電圧降下!$D$5,IF($D26&gt;=0,電圧降下!$C$5,"")))</f>
        <v>5</v>
      </c>
      <c r="I26" s="60">
        <f>IF($D26&gt;電圧降下!$G$4,電圧降下!$H$5,IF($D26&gt;電圧降下!$F$4,電圧降下!$G$5,IF($D26&gt;=0,電圧降下!$F$5,"")))</f>
        <v>6</v>
      </c>
    </row>
  </sheetData>
  <phoneticPr fontId="2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8AB4-A553-4D7A-877F-DB4E9A85C9FA}">
  <dimension ref="B2:G26"/>
  <sheetViews>
    <sheetView workbookViewId="0">
      <selection activeCell="B3" sqref="B3"/>
    </sheetView>
  </sheetViews>
  <sheetFormatPr defaultRowHeight="13.5"/>
  <cols>
    <col min="2" max="25" width="18.625" customWidth="1"/>
  </cols>
  <sheetData>
    <row r="2" spans="2:7">
      <c r="B2" t="s">
        <v>266</v>
      </c>
    </row>
    <row r="3" spans="2:7">
      <c r="B3" s="35" t="s">
        <v>263</v>
      </c>
      <c r="C3" s="35" t="s">
        <v>264</v>
      </c>
      <c r="D3" s="36" t="s">
        <v>265</v>
      </c>
      <c r="E3" s="40"/>
      <c r="F3" s="86"/>
      <c r="G3" s="87"/>
    </row>
    <row r="4" spans="2:7">
      <c r="B4" s="83"/>
      <c r="C4" s="83"/>
      <c r="D4" s="38" t="s">
        <v>237</v>
      </c>
      <c r="E4" s="38" t="s">
        <v>225</v>
      </c>
      <c r="F4" s="38" t="s">
        <v>226</v>
      </c>
      <c r="G4" s="38" t="s">
        <v>227</v>
      </c>
    </row>
    <row r="5" spans="2:7">
      <c r="B5" s="39" t="str">
        <f>IF(電圧降下計算!$Q8="","",電圧降下計算!$Q8)</f>
        <v/>
      </c>
      <c r="C5" s="39" t="str">
        <f>IF(電圧降下計算!$Q10="","",電圧降下計算!$Q10)</f>
        <v/>
      </c>
      <c r="D5" s="88" t="str">
        <f t="shared" ref="D5:D26" si="0">IF(ISERROR(INDEX($E5:$G5,MATCH($C5,$E$4:$G$4,0)))=TRUE,"",INDEX($E5:$G5,MATCH($C5,$E$4:$G$4,0)))</f>
        <v/>
      </c>
      <c r="E5" s="88" t="str">
        <f>IF(ISERROR(INDEX(ラック低減!$C$6:$Y$6,MATCH($B5,ラック低減!$C$5:$Y$5,0)))=TRUE,"",INDEX(ラック低減!$C$6:$Y$6,MATCH($B5,ラック低減!$C$5:$Y$5,0)))</f>
        <v/>
      </c>
      <c r="F5" s="88" t="str">
        <f>IF(ISERROR(INDEX(ラック低減!$C$7:$Y$7,MATCH($B5,ラック低減!$C$5:$Y$5,0)))=TRUE,"",INDEX(ラック低減!$C$7:$Y$7,MATCH($B5,ラック低減!$C$5:$Y$5,0)))</f>
        <v/>
      </c>
      <c r="G5" s="88" t="str">
        <f>IF(ISERROR(INDEX(ラック低減!$C$8:$Y$8,MATCH($B5,ラック低減!$C$5:$Y$5,0)))=TRUE,"",INDEX(ラック低減!$C$8:$Y$8,MATCH($B5,ラック低減!$C$5:$Y$5,0)))</f>
        <v/>
      </c>
    </row>
    <row r="6" spans="2:7">
      <c r="B6" s="39" t="str">
        <f>IF(電圧降下計算!$Q12="","",電圧降下計算!$Q12)</f>
        <v/>
      </c>
      <c r="C6" s="39" t="str">
        <f>IF(電圧降下計算!$Q14="","",電圧降下計算!$Q14)</f>
        <v/>
      </c>
      <c r="D6" s="88" t="str">
        <f t="shared" si="0"/>
        <v/>
      </c>
      <c r="E6" s="88" t="str">
        <f>IF(ISERROR(INDEX(ラック低減!$C$6:$Y$6,MATCH($B6,ラック低減!$C$5:$Y$5,0)))=TRUE,"",INDEX(ラック低減!$C$6:$Y$6,MATCH($B6,ラック低減!$C$5:$Y$5,0)))</f>
        <v/>
      </c>
      <c r="F6" s="88" t="str">
        <f>IF(ISERROR(INDEX(ラック低減!$C$7:$Y$7,MATCH($B6,ラック低減!$C$5:$Y$5,0)))=TRUE,"",INDEX(ラック低減!$C$7:$Y$7,MATCH($B6,ラック低減!$C$5:$Y$5,0)))</f>
        <v/>
      </c>
      <c r="G6" s="88" t="str">
        <f>IF(ISERROR(INDEX(ラック低減!$C$8:$Y$8,MATCH($B6,ラック低減!$C$5:$Y$5,0)))=TRUE,"",INDEX(ラック低減!$C$8:$Y$8,MATCH($B6,ラック低減!$C$5:$Y$5,0)))</f>
        <v/>
      </c>
    </row>
    <row r="7" spans="2:7">
      <c r="B7" s="39" t="str">
        <f>IF(電圧降下計算!$Q16="","",電圧降下計算!$Q16)</f>
        <v/>
      </c>
      <c r="C7" s="39" t="str">
        <f>IF(電圧降下計算!$Q18="","",電圧降下計算!$Q18)</f>
        <v/>
      </c>
      <c r="D7" s="88" t="str">
        <f t="shared" si="0"/>
        <v/>
      </c>
      <c r="E7" s="88" t="str">
        <f>IF(ISERROR(INDEX(ラック低減!$C$6:$Y$6,MATCH($B7,ラック低減!$C$5:$Y$5,0)))=TRUE,"",INDEX(ラック低減!$C$6:$Y$6,MATCH($B7,ラック低減!$C$5:$Y$5,0)))</f>
        <v/>
      </c>
      <c r="F7" s="88" t="str">
        <f>IF(ISERROR(INDEX(ラック低減!$C$7:$Y$7,MATCH($B7,ラック低減!$C$5:$Y$5,0)))=TRUE,"",INDEX(ラック低減!$C$7:$Y$7,MATCH($B7,ラック低減!$C$5:$Y$5,0)))</f>
        <v/>
      </c>
      <c r="G7" s="88" t="str">
        <f>IF(ISERROR(INDEX(ラック低減!$C$8:$Y$8,MATCH($B7,ラック低減!$C$5:$Y$5,0)))=TRUE,"",INDEX(ラック低減!$C$8:$Y$8,MATCH($B7,ラック低減!$C$5:$Y$5,0)))</f>
        <v/>
      </c>
    </row>
    <row r="8" spans="2:7">
      <c r="B8" s="39" t="str">
        <f>IF(電圧降下計算!$Q20="","",電圧降下計算!$Q20)</f>
        <v/>
      </c>
      <c r="C8" s="39" t="str">
        <f>IF(電圧降下計算!$Q22="","",電圧降下計算!$Q22)</f>
        <v/>
      </c>
      <c r="D8" s="88" t="str">
        <f t="shared" si="0"/>
        <v/>
      </c>
      <c r="E8" s="88" t="str">
        <f>IF(ISERROR(INDEX(ラック低減!$C$6:$Y$6,MATCH($B8,ラック低減!$C$5:$Y$5,0)))=TRUE,"",INDEX(ラック低減!$C$6:$Y$6,MATCH($B8,ラック低減!$C$5:$Y$5,0)))</f>
        <v/>
      </c>
      <c r="F8" s="88" t="str">
        <f>IF(ISERROR(INDEX(ラック低減!$C$7:$Y$7,MATCH($B8,ラック低減!$C$5:$Y$5,0)))=TRUE,"",INDEX(ラック低減!$C$7:$Y$7,MATCH($B8,ラック低減!$C$5:$Y$5,0)))</f>
        <v/>
      </c>
      <c r="G8" s="88" t="str">
        <f>IF(ISERROR(INDEX(ラック低減!$C$8:$Y$8,MATCH($B8,ラック低減!$C$5:$Y$5,0)))=TRUE,"",INDEX(ラック低減!$C$8:$Y$8,MATCH($B8,ラック低減!$C$5:$Y$5,0)))</f>
        <v/>
      </c>
    </row>
    <row r="9" spans="2:7">
      <c r="B9" s="39" t="str">
        <f>IF(電圧降下計算!$Q24="","",電圧降下計算!$Q24)</f>
        <v/>
      </c>
      <c r="C9" s="39" t="str">
        <f>IF(電圧降下計算!$Q26="","",電圧降下計算!$Q26)</f>
        <v/>
      </c>
      <c r="D9" s="88" t="str">
        <f t="shared" si="0"/>
        <v/>
      </c>
      <c r="E9" s="88" t="str">
        <f>IF(ISERROR(INDEX(ラック低減!$C$6:$Y$6,MATCH($B9,ラック低減!$C$5:$Y$5,0)))=TRUE,"",INDEX(ラック低減!$C$6:$Y$6,MATCH($B9,ラック低減!$C$5:$Y$5,0)))</f>
        <v/>
      </c>
      <c r="F9" s="88" t="str">
        <f>IF(ISERROR(INDEX(ラック低減!$C$7:$Y$7,MATCH($B9,ラック低減!$C$5:$Y$5,0)))=TRUE,"",INDEX(ラック低減!$C$7:$Y$7,MATCH($B9,ラック低減!$C$5:$Y$5,0)))</f>
        <v/>
      </c>
      <c r="G9" s="88" t="str">
        <f>IF(ISERROR(INDEX(ラック低減!$C$8:$Y$8,MATCH($B9,ラック低減!$C$5:$Y$5,0)))=TRUE,"",INDEX(ラック低減!$C$8:$Y$8,MATCH($B9,ラック低減!$C$5:$Y$5,0)))</f>
        <v/>
      </c>
    </row>
    <row r="10" spans="2:7">
      <c r="B10" s="39" t="str">
        <f>IF(電圧降下計算!$Q28="","",電圧降下計算!$Q28)</f>
        <v/>
      </c>
      <c r="C10" s="39" t="str">
        <f>IF(電圧降下計算!$Q30="","",電圧降下計算!$Q30)</f>
        <v/>
      </c>
      <c r="D10" s="88" t="str">
        <f t="shared" si="0"/>
        <v/>
      </c>
      <c r="E10" s="88" t="str">
        <f>IF(ISERROR(INDEX(ラック低減!$C$6:$Y$6,MATCH($B10,ラック低減!$C$5:$Y$5,0)))=TRUE,"",INDEX(ラック低減!$C$6:$Y$6,MATCH($B10,ラック低減!$C$5:$Y$5,0)))</f>
        <v/>
      </c>
      <c r="F10" s="88" t="str">
        <f>IF(ISERROR(INDEX(ラック低減!$C$7:$Y$7,MATCH($B10,ラック低減!$C$5:$Y$5,0)))=TRUE,"",INDEX(ラック低減!$C$7:$Y$7,MATCH($B10,ラック低減!$C$5:$Y$5,0)))</f>
        <v/>
      </c>
      <c r="G10" s="88" t="str">
        <f>IF(ISERROR(INDEX(ラック低減!$C$8:$Y$8,MATCH($B10,ラック低減!$C$5:$Y$5,0)))=TRUE,"",INDEX(ラック低減!$C$8:$Y$8,MATCH($B10,ラック低減!$C$5:$Y$5,0)))</f>
        <v/>
      </c>
    </row>
    <row r="11" spans="2:7">
      <c r="B11" s="39" t="str">
        <f>IF(電圧降下計算!$Q32="","",電圧降下計算!$Q32)</f>
        <v/>
      </c>
      <c r="C11" s="39" t="str">
        <f>IF(電圧降下計算!$Q34="","",電圧降下計算!$Q34)</f>
        <v/>
      </c>
      <c r="D11" s="88" t="str">
        <f t="shared" si="0"/>
        <v/>
      </c>
      <c r="E11" s="88" t="str">
        <f>IF(ISERROR(INDEX(ラック低減!$C$6:$Y$6,MATCH($B11,ラック低減!$C$5:$Y$5,0)))=TRUE,"",INDEX(ラック低減!$C$6:$Y$6,MATCH($B11,ラック低減!$C$5:$Y$5,0)))</f>
        <v/>
      </c>
      <c r="F11" s="88" t="str">
        <f>IF(ISERROR(INDEX(ラック低減!$C$7:$Y$7,MATCH($B11,ラック低減!$C$5:$Y$5,0)))=TRUE,"",INDEX(ラック低減!$C$7:$Y$7,MATCH($B11,ラック低減!$C$5:$Y$5,0)))</f>
        <v/>
      </c>
      <c r="G11" s="88" t="str">
        <f>IF(ISERROR(INDEX(ラック低減!$C$8:$Y$8,MATCH($B11,ラック低減!$C$5:$Y$5,0)))=TRUE,"",INDEX(ラック低減!$C$8:$Y$8,MATCH($B11,ラック低減!$C$5:$Y$5,0)))</f>
        <v/>
      </c>
    </row>
    <row r="12" spans="2:7">
      <c r="B12" s="39" t="str">
        <f>IF(電圧降下計算!$Q36="","",電圧降下計算!$Q36)</f>
        <v/>
      </c>
      <c r="C12" s="39" t="str">
        <f>IF(電圧降下計算!$Q38="","",電圧降下計算!$Q38)</f>
        <v/>
      </c>
      <c r="D12" s="88" t="str">
        <f t="shared" si="0"/>
        <v/>
      </c>
      <c r="E12" s="88" t="str">
        <f>IF(ISERROR(INDEX(ラック低減!$C$6:$Y$6,MATCH($B12,ラック低減!$C$5:$Y$5,0)))=TRUE,"",INDEX(ラック低減!$C$6:$Y$6,MATCH($B12,ラック低減!$C$5:$Y$5,0)))</f>
        <v/>
      </c>
      <c r="F12" s="88" t="str">
        <f>IF(ISERROR(INDEX(ラック低減!$C$7:$Y$7,MATCH($B12,ラック低減!$C$5:$Y$5,0)))=TRUE,"",INDEX(ラック低減!$C$7:$Y$7,MATCH($B12,ラック低減!$C$5:$Y$5,0)))</f>
        <v/>
      </c>
      <c r="G12" s="88" t="str">
        <f>IF(ISERROR(INDEX(ラック低減!$C$8:$Y$8,MATCH($B12,ラック低減!$C$5:$Y$5,0)))=TRUE,"",INDEX(ラック低減!$C$8:$Y$8,MATCH($B12,ラック低減!$C$5:$Y$5,0)))</f>
        <v/>
      </c>
    </row>
    <row r="13" spans="2:7">
      <c r="B13" s="39" t="str">
        <f>IF(電圧降下計算!$Q40="","",電圧降下計算!$Q40)</f>
        <v/>
      </c>
      <c r="C13" s="39" t="str">
        <f>IF(電圧降下計算!$Q42="","",電圧降下計算!$Q42)</f>
        <v/>
      </c>
      <c r="D13" s="88" t="str">
        <f t="shared" si="0"/>
        <v/>
      </c>
      <c r="E13" s="88" t="str">
        <f>IF(ISERROR(INDEX(ラック低減!$C$6:$Y$6,MATCH($B13,ラック低減!$C$5:$Y$5,0)))=TRUE,"",INDEX(ラック低減!$C$6:$Y$6,MATCH($B13,ラック低減!$C$5:$Y$5,0)))</f>
        <v/>
      </c>
      <c r="F13" s="88" t="str">
        <f>IF(ISERROR(INDEX(ラック低減!$C$7:$Y$7,MATCH($B13,ラック低減!$C$5:$Y$5,0)))=TRUE,"",INDEX(ラック低減!$C$7:$Y$7,MATCH($B13,ラック低減!$C$5:$Y$5,0)))</f>
        <v/>
      </c>
      <c r="G13" s="88" t="str">
        <f>IF(ISERROR(INDEX(ラック低減!$C$8:$Y$8,MATCH($B13,ラック低減!$C$5:$Y$5,0)))=TRUE,"",INDEX(ラック低減!$C$8:$Y$8,MATCH($B13,ラック低減!$C$5:$Y$5,0)))</f>
        <v/>
      </c>
    </row>
    <row r="14" spans="2:7">
      <c r="B14" s="39" t="str">
        <f>IF(電圧降下計算!$Q44="","",電圧降下計算!$Q44)</f>
        <v/>
      </c>
      <c r="C14" s="39" t="str">
        <f>IF(電圧降下計算!$Q46="","",電圧降下計算!$Q46)</f>
        <v/>
      </c>
      <c r="D14" s="88" t="str">
        <f t="shared" si="0"/>
        <v/>
      </c>
      <c r="E14" s="88" t="str">
        <f>IF(ISERROR(INDEX(ラック低減!$C$6:$Y$6,MATCH($B14,ラック低減!$C$5:$Y$5,0)))=TRUE,"",INDEX(ラック低減!$C$6:$Y$6,MATCH($B14,ラック低減!$C$5:$Y$5,0)))</f>
        <v/>
      </c>
      <c r="F14" s="88" t="str">
        <f>IF(ISERROR(INDEX(ラック低減!$C$7:$Y$7,MATCH($B14,ラック低減!$C$5:$Y$5,0)))=TRUE,"",INDEX(ラック低減!$C$7:$Y$7,MATCH($B14,ラック低減!$C$5:$Y$5,0)))</f>
        <v/>
      </c>
      <c r="G14" s="88" t="str">
        <f>IF(ISERROR(INDEX(ラック低減!$C$8:$Y$8,MATCH($B14,ラック低減!$C$5:$Y$5,0)))=TRUE,"",INDEX(ラック低減!$C$8:$Y$8,MATCH($B14,ラック低減!$C$5:$Y$5,0)))</f>
        <v/>
      </c>
    </row>
    <row r="15" spans="2:7">
      <c r="B15" s="39" t="str">
        <f>IF(電圧降下計算!$Q48="","",電圧降下計算!$Q48)</f>
        <v/>
      </c>
      <c r="C15" s="39" t="str">
        <f>IF(電圧降下計算!$Q50="","",電圧降下計算!$Q50)</f>
        <v/>
      </c>
      <c r="D15" s="88" t="str">
        <f t="shared" si="0"/>
        <v/>
      </c>
      <c r="E15" s="88" t="str">
        <f>IF(ISERROR(INDEX(ラック低減!$C$6:$Y$6,MATCH($B15,ラック低減!$C$5:$Y$5,0)))=TRUE,"",INDEX(ラック低減!$C$6:$Y$6,MATCH($B15,ラック低減!$C$5:$Y$5,0)))</f>
        <v/>
      </c>
      <c r="F15" s="88" t="str">
        <f>IF(ISERROR(INDEX(ラック低減!$C$7:$Y$7,MATCH($B15,ラック低減!$C$5:$Y$5,0)))=TRUE,"",INDEX(ラック低減!$C$7:$Y$7,MATCH($B15,ラック低減!$C$5:$Y$5,0)))</f>
        <v/>
      </c>
      <c r="G15" s="88" t="str">
        <f>IF(ISERROR(INDEX(ラック低減!$C$8:$Y$8,MATCH($B15,ラック低減!$C$5:$Y$5,0)))=TRUE,"",INDEX(ラック低減!$C$8:$Y$8,MATCH($B15,ラック低減!$C$5:$Y$5,0)))</f>
        <v/>
      </c>
    </row>
    <row r="16" spans="2:7">
      <c r="B16" s="39" t="str">
        <f>IF(電圧降下計算!$Q52="","",電圧降下計算!$Q52)</f>
        <v/>
      </c>
      <c r="C16" s="39" t="str">
        <f>IF(電圧降下計算!$Q54="","",電圧降下計算!$Q54)</f>
        <v/>
      </c>
      <c r="D16" s="88" t="str">
        <f t="shared" si="0"/>
        <v/>
      </c>
      <c r="E16" s="88" t="str">
        <f>IF(ISERROR(INDEX(ラック低減!$C$6:$Y$6,MATCH($B16,ラック低減!$C$5:$Y$5,0)))=TRUE,"",INDEX(ラック低減!$C$6:$Y$6,MATCH($B16,ラック低減!$C$5:$Y$5,0)))</f>
        <v/>
      </c>
      <c r="F16" s="88" t="str">
        <f>IF(ISERROR(INDEX(ラック低減!$C$7:$Y$7,MATCH($B16,ラック低減!$C$5:$Y$5,0)))=TRUE,"",INDEX(ラック低減!$C$7:$Y$7,MATCH($B16,ラック低減!$C$5:$Y$5,0)))</f>
        <v/>
      </c>
      <c r="G16" s="88" t="str">
        <f>IF(ISERROR(INDEX(ラック低減!$C$8:$Y$8,MATCH($B16,ラック低減!$C$5:$Y$5,0)))=TRUE,"",INDEX(ラック低減!$C$8:$Y$8,MATCH($B16,ラック低減!$C$5:$Y$5,0)))</f>
        <v/>
      </c>
    </row>
    <row r="17" spans="2:7">
      <c r="B17" s="39" t="str">
        <f>IF(電圧降下計算!$Q56="","",電圧降下計算!$Q56)</f>
        <v/>
      </c>
      <c r="C17" s="39" t="str">
        <f>IF(電圧降下計算!$Q58="","",電圧降下計算!$Q58)</f>
        <v/>
      </c>
      <c r="D17" s="88" t="str">
        <f t="shared" si="0"/>
        <v/>
      </c>
      <c r="E17" s="88" t="str">
        <f>IF(ISERROR(INDEX(ラック低減!$C$6:$Y$6,MATCH($B17,ラック低減!$C$5:$Y$5,0)))=TRUE,"",INDEX(ラック低減!$C$6:$Y$6,MATCH($B17,ラック低減!$C$5:$Y$5,0)))</f>
        <v/>
      </c>
      <c r="F17" s="88" t="str">
        <f>IF(ISERROR(INDEX(ラック低減!$C$7:$Y$7,MATCH($B17,ラック低減!$C$5:$Y$5,0)))=TRUE,"",INDEX(ラック低減!$C$7:$Y$7,MATCH($B17,ラック低減!$C$5:$Y$5,0)))</f>
        <v/>
      </c>
      <c r="G17" s="88" t="str">
        <f>IF(ISERROR(INDEX(ラック低減!$C$8:$Y$8,MATCH($B17,ラック低減!$C$5:$Y$5,0)))=TRUE,"",INDEX(ラック低減!$C$8:$Y$8,MATCH($B17,ラック低減!$C$5:$Y$5,0)))</f>
        <v/>
      </c>
    </row>
    <row r="18" spans="2:7">
      <c r="B18" s="39" t="str">
        <f>IF(電圧降下計算!$Q60="","",電圧降下計算!$Q60)</f>
        <v/>
      </c>
      <c r="C18" s="39" t="str">
        <f>IF(電圧降下計算!$Q62="","",電圧降下計算!$Q62)</f>
        <v/>
      </c>
      <c r="D18" s="88" t="str">
        <f t="shared" si="0"/>
        <v/>
      </c>
      <c r="E18" s="88" t="str">
        <f>IF(ISERROR(INDEX(ラック低減!$C$6:$Y$6,MATCH($B18,ラック低減!$C$5:$Y$5,0)))=TRUE,"",INDEX(ラック低減!$C$6:$Y$6,MATCH($B18,ラック低減!$C$5:$Y$5,0)))</f>
        <v/>
      </c>
      <c r="F18" s="88" t="str">
        <f>IF(ISERROR(INDEX(ラック低減!$C$7:$Y$7,MATCH($B18,ラック低減!$C$5:$Y$5,0)))=TRUE,"",INDEX(ラック低減!$C$7:$Y$7,MATCH($B18,ラック低減!$C$5:$Y$5,0)))</f>
        <v/>
      </c>
      <c r="G18" s="88" t="str">
        <f>IF(ISERROR(INDEX(ラック低減!$C$8:$Y$8,MATCH($B18,ラック低減!$C$5:$Y$5,0)))=TRUE,"",INDEX(ラック低減!$C$8:$Y$8,MATCH($B18,ラック低減!$C$5:$Y$5,0)))</f>
        <v/>
      </c>
    </row>
    <row r="19" spans="2:7">
      <c r="B19" s="39" t="str">
        <f>IF(電圧降下計算!$Q64="","",電圧降下計算!$Q64)</f>
        <v/>
      </c>
      <c r="C19" s="39" t="str">
        <f>IF(電圧降下計算!$Q66="","",電圧降下計算!$Q66)</f>
        <v/>
      </c>
      <c r="D19" s="88" t="str">
        <f t="shared" si="0"/>
        <v/>
      </c>
      <c r="E19" s="88" t="str">
        <f>IF(ISERROR(INDEX(ラック低減!$C$6:$Y$6,MATCH($B19,ラック低減!$C$5:$Y$5,0)))=TRUE,"",INDEX(ラック低減!$C$6:$Y$6,MATCH($B19,ラック低減!$C$5:$Y$5,0)))</f>
        <v/>
      </c>
      <c r="F19" s="88" t="str">
        <f>IF(ISERROR(INDEX(ラック低減!$C$7:$Y$7,MATCH($B19,ラック低減!$C$5:$Y$5,0)))=TRUE,"",INDEX(ラック低減!$C$7:$Y$7,MATCH($B19,ラック低減!$C$5:$Y$5,0)))</f>
        <v/>
      </c>
      <c r="G19" s="88" t="str">
        <f>IF(ISERROR(INDEX(ラック低減!$C$8:$Y$8,MATCH($B19,ラック低減!$C$5:$Y$5,0)))=TRUE,"",INDEX(ラック低減!$C$8:$Y$8,MATCH($B19,ラック低減!$C$5:$Y$5,0)))</f>
        <v/>
      </c>
    </row>
    <row r="20" spans="2:7">
      <c r="B20" s="39" t="str">
        <f>IF(電圧降下計算!$Q68="","",電圧降下計算!$Q68)</f>
        <v/>
      </c>
      <c r="C20" s="39" t="str">
        <f>IF(電圧降下計算!$Q70="","",電圧降下計算!$Q70)</f>
        <v/>
      </c>
      <c r="D20" s="88" t="str">
        <f t="shared" si="0"/>
        <v/>
      </c>
      <c r="E20" s="88" t="str">
        <f>IF(ISERROR(INDEX(ラック低減!$C$6:$Y$6,MATCH($B20,ラック低減!$C$5:$Y$5,0)))=TRUE,"",INDEX(ラック低減!$C$6:$Y$6,MATCH($B20,ラック低減!$C$5:$Y$5,0)))</f>
        <v/>
      </c>
      <c r="F20" s="88" t="str">
        <f>IF(ISERROR(INDEX(ラック低減!$C$7:$Y$7,MATCH($B20,ラック低減!$C$5:$Y$5,0)))=TRUE,"",INDEX(ラック低減!$C$7:$Y$7,MATCH($B20,ラック低減!$C$5:$Y$5,0)))</f>
        <v/>
      </c>
      <c r="G20" s="88" t="str">
        <f>IF(ISERROR(INDEX(ラック低減!$C$8:$Y$8,MATCH($B20,ラック低減!$C$5:$Y$5,0)))=TRUE,"",INDEX(ラック低減!$C$8:$Y$8,MATCH($B20,ラック低減!$C$5:$Y$5,0)))</f>
        <v/>
      </c>
    </row>
    <row r="21" spans="2:7">
      <c r="B21" s="39" t="str">
        <f>IF(電圧降下計算!$Q72="","",電圧降下計算!$Q72)</f>
        <v/>
      </c>
      <c r="C21" s="39" t="str">
        <f>IF(電圧降下計算!$Q74="","",電圧降下計算!$Q74)</f>
        <v/>
      </c>
      <c r="D21" s="88" t="str">
        <f t="shared" si="0"/>
        <v/>
      </c>
      <c r="E21" s="88" t="str">
        <f>IF(ISERROR(INDEX(ラック低減!$C$6:$Y$6,MATCH($B21,ラック低減!$C$5:$Y$5,0)))=TRUE,"",INDEX(ラック低減!$C$6:$Y$6,MATCH($B21,ラック低減!$C$5:$Y$5,0)))</f>
        <v/>
      </c>
      <c r="F21" s="88" t="str">
        <f>IF(ISERROR(INDEX(ラック低減!$C$7:$Y$7,MATCH($B21,ラック低減!$C$5:$Y$5,0)))=TRUE,"",INDEX(ラック低減!$C$7:$Y$7,MATCH($B21,ラック低減!$C$5:$Y$5,0)))</f>
        <v/>
      </c>
      <c r="G21" s="88" t="str">
        <f>IF(ISERROR(INDEX(ラック低減!$C$8:$Y$8,MATCH($B21,ラック低減!$C$5:$Y$5,0)))=TRUE,"",INDEX(ラック低減!$C$8:$Y$8,MATCH($B21,ラック低減!$C$5:$Y$5,0)))</f>
        <v/>
      </c>
    </row>
    <row r="22" spans="2:7">
      <c r="B22" s="39" t="str">
        <f>IF(電圧降下計算!$Q76="","",電圧降下計算!$Q76)</f>
        <v/>
      </c>
      <c r="C22" s="39" t="str">
        <f>IF(電圧降下計算!$Q78="","",電圧降下計算!$Q78)</f>
        <v/>
      </c>
      <c r="D22" s="88" t="str">
        <f t="shared" si="0"/>
        <v/>
      </c>
      <c r="E22" s="88" t="str">
        <f>IF(ISERROR(INDEX(ラック低減!$C$6:$Y$6,MATCH($B22,ラック低減!$C$5:$Y$5,0)))=TRUE,"",INDEX(ラック低減!$C$6:$Y$6,MATCH($B22,ラック低減!$C$5:$Y$5,0)))</f>
        <v/>
      </c>
      <c r="F22" s="88" t="str">
        <f>IF(ISERROR(INDEX(ラック低減!$C$7:$Y$7,MATCH($B22,ラック低減!$C$5:$Y$5,0)))=TRUE,"",INDEX(ラック低減!$C$7:$Y$7,MATCH($B22,ラック低減!$C$5:$Y$5,0)))</f>
        <v/>
      </c>
      <c r="G22" s="88" t="str">
        <f>IF(ISERROR(INDEX(ラック低減!$C$8:$Y$8,MATCH($B22,ラック低減!$C$5:$Y$5,0)))=TRUE,"",INDEX(ラック低減!$C$8:$Y$8,MATCH($B22,ラック低減!$C$5:$Y$5,0)))</f>
        <v/>
      </c>
    </row>
    <row r="23" spans="2:7">
      <c r="B23" s="39" t="str">
        <f>IF(電圧降下計算!$Q80="","",電圧降下計算!$Q80)</f>
        <v/>
      </c>
      <c r="C23" s="39" t="str">
        <f>IF(電圧降下計算!$Q82="","",電圧降下計算!$Q82)</f>
        <v/>
      </c>
      <c r="D23" s="88" t="str">
        <f t="shared" si="0"/>
        <v/>
      </c>
      <c r="E23" s="88" t="str">
        <f>IF(ISERROR(INDEX(ラック低減!$C$6:$Y$6,MATCH($B23,ラック低減!$C$5:$Y$5,0)))=TRUE,"",INDEX(ラック低減!$C$6:$Y$6,MATCH($B23,ラック低減!$C$5:$Y$5,0)))</f>
        <v/>
      </c>
      <c r="F23" s="88" t="str">
        <f>IF(ISERROR(INDEX(ラック低減!$C$7:$Y$7,MATCH($B23,ラック低減!$C$5:$Y$5,0)))=TRUE,"",INDEX(ラック低減!$C$7:$Y$7,MATCH($B23,ラック低減!$C$5:$Y$5,0)))</f>
        <v/>
      </c>
      <c r="G23" s="88" t="str">
        <f>IF(ISERROR(INDEX(ラック低減!$C$8:$Y$8,MATCH($B23,ラック低減!$C$5:$Y$5,0)))=TRUE,"",INDEX(ラック低減!$C$8:$Y$8,MATCH($B23,ラック低減!$C$5:$Y$5,0)))</f>
        <v/>
      </c>
    </row>
    <row r="24" spans="2:7">
      <c r="B24" s="39" t="str">
        <f>IF(電圧降下計算!$Q84="","",電圧降下計算!$Q84)</f>
        <v/>
      </c>
      <c r="C24" s="39" t="str">
        <f>IF(電圧降下計算!$Q86="","",電圧降下計算!$Q86)</f>
        <v/>
      </c>
      <c r="D24" s="88" t="str">
        <f t="shared" si="0"/>
        <v/>
      </c>
      <c r="E24" s="88" t="str">
        <f>IF(ISERROR(INDEX(ラック低減!$C$6:$Y$6,MATCH($B24,ラック低減!$C$5:$Y$5,0)))=TRUE,"",INDEX(ラック低減!$C$6:$Y$6,MATCH($B24,ラック低減!$C$5:$Y$5,0)))</f>
        <v/>
      </c>
      <c r="F24" s="88" t="str">
        <f>IF(ISERROR(INDEX(ラック低減!$C$7:$Y$7,MATCH($B24,ラック低減!$C$5:$Y$5,0)))=TRUE,"",INDEX(ラック低減!$C$7:$Y$7,MATCH($B24,ラック低減!$C$5:$Y$5,0)))</f>
        <v/>
      </c>
      <c r="G24" s="88" t="str">
        <f>IF(ISERROR(INDEX(ラック低減!$C$8:$Y$8,MATCH($B24,ラック低減!$C$5:$Y$5,0)))=TRUE,"",INDEX(ラック低減!$C$8:$Y$8,MATCH($B24,ラック低減!$C$5:$Y$5,0)))</f>
        <v/>
      </c>
    </row>
    <row r="25" spans="2:7">
      <c r="B25" s="39" t="str">
        <f>IF(電圧降下計算!$Q88="","",電圧降下計算!$Q88)</f>
        <v/>
      </c>
      <c r="C25" s="39" t="str">
        <f>IF(電圧降下計算!$Q90="","",電圧降下計算!$Q90)</f>
        <v/>
      </c>
      <c r="D25" s="88" t="str">
        <f t="shared" si="0"/>
        <v/>
      </c>
      <c r="E25" s="88" t="str">
        <f>IF(ISERROR(INDEX(ラック低減!$C$6:$Y$6,MATCH($B25,ラック低減!$C$5:$Y$5,0)))=TRUE,"",INDEX(ラック低減!$C$6:$Y$6,MATCH($B25,ラック低減!$C$5:$Y$5,0)))</f>
        <v/>
      </c>
      <c r="F25" s="88" t="str">
        <f>IF(ISERROR(INDEX(ラック低減!$C$7:$Y$7,MATCH($B25,ラック低減!$C$5:$Y$5,0)))=TRUE,"",INDEX(ラック低減!$C$7:$Y$7,MATCH($B25,ラック低減!$C$5:$Y$5,0)))</f>
        <v/>
      </c>
      <c r="G25" s="88" t="str">
        <f>IF(ISERROR(INDEX(ラック低減!$C$8:$Y$8,MATCH($B25,ラック低減!$C$5:$Y$5,0)))=TRUE,"",INDEX(ラック低減!$C$8:$Y$8,MATCH($B25,ラック低減!$C$5:$Y$5,0)))</f>
        <v/>
      </c>
    </row>
    <row r="26" spans="2:7">
      <c r="B26" s="39" t="str">
        <f>IF(電圧降下計算!$Q92="","",電圧降下計算!$Q92)</f>
        <v/>
      </c>
      <c r="C26" s="39" t="str">
        <f>IF(電圧降下計算!$Q94="","",電圧降下計算!$Q94)</f>
        <v/>
      </c>
      <c r="D26" s="88" t="str">
        <f t="shared" si="0"/>
        <v/>
      </c>
      <c r="E26" s="88" t="str">
        <f>IF(ISERROR(INDEX(ラック低減!$C$6:$Y$6,MATCH($B26,ラック低減!$C$5:$Y$5,0)))=TRUE,"",INDEX(ラック低減!$C$6:$Y$6,MATCH($B26,ラック低減!$C$5:$Y$5,0)))</f>
        <v/>
      </c>
      <c r="F26" s="88" t="str">
        <f>IF(ISERROR(INDEX(ラック低減!$C$7:$Y$7,MATCH($B26,ラック低減!$C$5:$Y$5,0)))=TRUE,"",INDEX(ラック低減!$C$7:$Y$7,MATCH($B26,ラック低減!$C$5:$Y$5,0)))</f>
        <v/>
      </c>
      <c r="G26" s="88" t="str">
        <f>IF(ISERROR(INDEX(ラック低減!$C$8:$Y$8,MATCH($B26,ラック低減!$C$5:$Y$5,0)))=TRUE,"",INDEX(ラック低減!$C$8:$Y$8,MATCH($B26,ラック低減!$C$5:$Y$5,0)))</f>
        <v/>
      </c>
    </row>
  </sheetData>
  <phoneticPr fontId="2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5D0-D539-4FA6-B9B8-41E96AAB3C65}">
  <dimension ref="B2:D7"/>
  <sheetViews>
    <sheetView workbookViewId="0">
      <selection activeCell="B3" sqref="B3"/>
    </sheetView>
  </sheetViews>
  <sheetFormatPr defaultRowHeight="13.5"/>
  <cols>
    <col min="2" max="4" width="18.625" customWidth="1"/>
  </cols>
  <sheetData>
    <row r="2" spans="2:4">
      <c r="B2" t="s">
        <v>223</v>
      </c>
    </row>
    <row r="3" spans="2:4">
      <c r="B3" s="39" t="s">
        <v>197</v>
      </c>
      <c r="C3" s="39" t="s">
        <v>221</v>
      </c>
      <c r="D3" s="39" t="s">
        <v>222</v>
      </c>
    </row>
    <row r="4" spans="2:4">
      <c r="B4" s="76" t="s">
        <v>198</v>
      </c>
      <c r="C4" s="80">
        <v>2</v>
      </c>
      <c r="D4" s="81">
        <v>35.6</v>
      </c>
    </row>
    <row r="5" spans="2:4">
      <c r="B5" s="76" t="s">
        <v>199</v>
      </c>
      <c r="C5" s="80">
        <v>1</v>
      </c>
      <c r="D5" s="81">
        <v>17.8</v>
      </c>
    </row>
    <row r="6" spans="2:4">
      <c r="B6" s="76" t="s">
        <v>200</v>
      </c>
      <c r="C6" s="80">
        <v>1.73</v>
      </c>
      <c r="D6" s="81">
        <v>30.8</v>
      </c>
    </row>
    <row r="7" spans="2:4">
      <c r="B7" s="76" t="s">
        <v>201</v>
      </c>
      <c r="C7" s="80">
        <v>1</v>
      </c>
      <c r="D7" s="81">
        <v>17.8</v>
      </c>
    </row>
  </sheetData>
  <phoneticPr fontId="2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C7F7-C30B-4FAE-98CD-22CDFB3ADBFE}">
  <dimension ref="B2:C8"/>
  <sheetViews>
    <sheetView workbookViewId="0">
      <selection activeCell="B3" sqref="B3"/>
    </sheetView>
  </sheetViews>
  <sheetFormatPr defaultRowHeight="13.5"/>
  <cols>
    <col min="2" max="4" width="18.625" customWidth="1"/>
  </cols>
  <sheetData>
    <row r="2" spans="2:3">
      <c r="B2" t="s">
        <v>206</v>
      </c>
    </row>
    <row r="3" spans="2:3">
      <c r="B3" s="39" t="s">
        <v>204</v>
      </c>
      <c r="C3" s="39" t="s">
        <v>202</v>
      </c>
    </row>
    <row r="4" spans="2:3">
      <c r="B4" s="76" t="s">
        <v>203</v>
      </c>
      <c r="C4" s="41">
        <v>100</v>
      </c>
    </row>
    <row r="5" spans="2:3">
      <c r="B5" s="76">
        <v>100</v>
      </c>
      <c r="C5" s="41">
        <v>100</v>
      </c>
    </row>
    <row r="6" spans="2:3">
      <c r="B6" s="76">
        <v>200</v>
      </c>
      <c r="C6" s="41">
        <v>200</v>
      </c>
    </row>
    <row r="7" spans="2:3">
      <c r="B7" s="76" t="s">
        <v>205</v>
      </c>
      <c r="C7" s="41">
        <v>230</v>
      </c>
    </row>
    <row r="8" spans="2:3">
      <c r="B8" s="76">
        <v>400</v>
      </c>
      <c r="C8" s="41">
        <v>400</v>
      </c>
    </row>
  </sheetData>
  <phoneticPr fontId="2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B1D0-4349-4578-8045-D231FA6F7EAD}">
  <dimension ref="B2:C22"/>
  <sheetViews>
    <sheetView workbookViewId="0">
      <selection activeCell="B3" sqref="B3"/>
    </sheetView>
  </sheetViews>
  <sheetFormatPr defaultRowHeight="13.5"/>
  <cols>
    <col min="2" max="3" width="18.625" customWidth="1"/>
  </cols>
  <sheetData>
    <row r="2" spans="2:3">
      <c r="B2" t="s">
        <v>207</v>
      </c>
    </row>
    <row r="3" spans="2:3">
      <c r="B3" s="35" t="s">
        <v>208</v>
      </c>
      <c r="C3" s="35" t="s">
        <v>209</v>
      </c>
    </row>
    <row r="4" spans="2:3">
      <c r="B4" s="38" t="s">
        <v>210</v>
      </c>
      <c r="C4" s="38"/>
    </row>
    <row r="5" spans="2:3">
      <c r="B5" s="77">
        <v>15</v>
      </c>
      <c r="C5" s="77">
        <v>15</v>
      </c>
    </row>
    <row r="6" spans="2:3">
      <c r="B6" s="77">
        <v>20</v>
      </c>
      <c r="C6" s="77">
        <v>20</v>
      </c>
    </row>
    <row r="7" spans="2:3">
      <c r="B7" s="77">
        <v>30</v>
      </c>
      <c r="C7" s="77">
        <v>30</v>
      </c>
    </row>
    <row r="8" spans="2:3">
      <c r="B8" s="77">
        <v>40</v>
      </c>
      <c r="C8" s="77">
        <v>40</v>
      </c>
    </row>
    <row r="9" spans="2:3">
      <c r="B9" s="77">
        <v>50</v>
      </c>
      <c r="C9" s="77">
        <v>60</v>
      </c>
    </row>
    <row r="10" spans="2:3">
      <c r="B10" s="77">
        <v>60</v>
      </c>
      <c r="C10" s="77">
        <v>75</v>
      </c>
    </row>
    <row r="11" spans="2:3">
      <c r="B11" s="77">
        <v>75</v>
      </c>
      <c r="C11" s="77">
        <v>100</v>
      </c>
    </row>
    <row r="12" spans="2:3">
      <c r="B12" s="77">
        <v>100</v>
      </c>
      <c r="C12" s="77">
        <v>150</v>
      </c>
    </row>
    <row r="13" spans="2:3">
      <c r="B13" s="77">
        <v>125</v>
      </c>
      <c r="C13" s="77">
        <v>200</v>
      </c>
    </row>
    <row r="14" spans="2:3">
      <c r="B14" s="77">
        <v>150</v>
      </c>
      <c r="C14" s="77">
        <v>300</v>
      </c>
    </row>
    <row r="15" spans="2:3">
      <c r="B15" s="77">
        <v>175</v>
      </c>
      <c r="C15" s="77">
        <v>350</v>
      </c>
    </row>
    <row r="16" spans="2:3">
      <c r="B16" s="77">
        <v>200</v>
      </c>
      <c r="C16" s="77">
        <v>400</v>
      </c>
    </row>
    <row r="17" spans="2:3">
      <c r="B17" s="77">
        <v>225</v>
      </c>
      <c r="C17" s="77"/>
    </row>
    <row r="18" spans="2:3">
      <c r="B18" s="77">
        <v>250</v>
      </c>
      <c r="C18" s="77"/>
    </row>
    <row r="19" spans="2:3">
      <c r="B19" s="77">
        <v>300</v>
      </c>
      <c r="C19" s="77"/>
    </row>
    <row r="20" spans="2:3">
      <c r="B20" s="77">
        <v>400</v>
      </c>
      <c r="C20" s="77"/>
    </row>
    <row r="21" spans="2:3">
      <c r="B21" s="77">
        <v>500</v>
      </c>
      <c r="C21" s="77"/>
    </row>
    <row r="22" spans="2:3">
      <c r="B22" s="77">
        <v>600</v>
      </c>
      <c r="C22" s="77"/>
    </row>
  </sheetData>
  <phoneticPr fontId="2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1E13-D84A-4C89-BC0C-076DD4957818}">
  <dimension ref="B2:C7"/>
  <sheetViews>
    <sheetView workbookViewId="0">
      <selection activeCell="B3" sqref="B3"/>
    </sheetView>
  </sheetViews>
  <sheetFormatPr defaultRowHeight="13.5"/>
  <cols>
    <col min="2" max="3" width="18.625" customWidth="1"/>
    <col min="4" max="4" width="9" customWidth="1"/>
  </cols>
  <sheetData>
    <row r="2" spans="2:3">
      <c r="B2" t="s">
        <v>231</v>
      </c>
    </row>
    <row r="3" spans="2:3">
      <c r="B3" s="35" t="s">
        <v>232</v>
      </c>
      <c r="C3" s="35" t="s">
        <v>235</v>
      </c>
    </row>
    <row r="4" spans="2:3">
      <c r="B4" s="38"/>
      <c r="C4" s="38" t="s">
        <v>234</v>
      </c>
    </row>
    <row r="5" spans="2:3">
      <c r="B5" s="39" t="s">
        <v>257</v>
      </c>
      <c r="C5" s="76">
        <v>55</v>
      </c>
    </row>
    <row r="6" spans="2:3">
      <c r="B6" s="39" t="s">
        <v>258</v>
      </c>
      <c r="C6" s="76">
        <v>35</v>
      </c>
    </row>
    <row r="7" spans="2:3">
      <c r="B7" s="39" t="s">
        <v>233</v>
      </c>
      <c r="C7" s="76"/>
    </row>
  </sheetData>
  <phoneticPr fontId="2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A68B-263D-4AAB-8247-BEC77DB6149D}">
  <dimension ref="B2:O236"/>
  <sheetViews>
    <sheetView workbookViewId="0">
      <selection activeCell="B3" sqref="B3"/>
    </sheetView>
  </sheetViews>
  <sheetFormatPr defaultRowHeight="13.5"/>
  <cols>
    <col min="2" max="15" width="18.625" customWidth="1"/>
  </cols>
  <sheetData>
    <row r="2" spans="2:15">
      <c r="B2" t="s">
        <v>108</v>
      </c>
    </row>
    <row r="3" spans="2:15">
      <c r="B3" s="35" t="s">
        <v>38</v>
      </c>
      <c r="C3" s="44" t="s">
        <v>41</v>
      </c>
      <c r="D3" s="45"/>
      <c r="E3" s="46"/>
      <c r="F3" s="36" t="s">
        <v>40</v>
      </c>
      <c r="G3" s="40"/>
      <c r="H3" s="40"/>
      <c r="I3" s="40"/>
      <c r="J3" s="40"/>
      <c r="K3" s="40"/>
      <c r="L3" s="40"/>
      <c r="M3" s="40"/>
      <c r="N3" s="40"/>
      <c r="O3" s="37"/>
    </row>
    <row r="4" spans="2:15">
      <c r="B4" s="43"/>
      <c r="C4" s="47"/>
      <c r="D4" s="48"/>
      <c r="E4" s="49"/>
      <c r="F4" s="36">
        <v>50</v>
      </c>
      <c r="G4" s="40">
        <v>50</v>
      </c>
      <c r="H4" s="40">
        <v>50</v>
      </c>
      <c r="I4" s="40">
        <v>50</v>
      </c>
      <c r="J4" s="37">
        <v>50</v>
      </c>
      <c r="K4" s="36">
        <v>60</v>
      </c>
      <c r="L4" s="40">
        <v>60</v>
      </c>
      <c r="M4" s="40">
        <v>60</v>
      </c>
      <c r="N4" s="40">
        <v>60</v>
      </c>
      <c r="O4" s="37">
        <v>60</v>
      </c>
    </row>
    <row r="5" spans="2:15">
      <c r="B5" s="43"/>
      <c r="C5" s="44" t="s">
        <v>212</v>
      </c>
      <c r="D5" s="46"/>
      <c r="E5" s="35" t="s">
        <v>211</v>
      </c>
      <c r="F5" s="43" t="s">
        <v>39</v>
      </c>
      <c r="G5" s="43" t="s">
        <v>110</v>
      </c>
      <c r="H5" s="61" t="s">
        <v>107</v>
      </c>
      <c r="I5" s="62"/>
      <c r="J5" s="63"/>
      <c r="K5" s="43" t="s">
        <v>39</v>
      </c>
      <c r="L5" s="35" t="s">
        <v>110</v>
      </c>
      <c r="M5" s="44" t="s">
        <v>107</v>
      </c>
      <c r="N5" s="45"/>
      <c r="O5" s="46"/>
    </row>
    <row r="6" spans="2:15">
      <c r="B6" s="43"/>
      <c r="C6" s="36" t="s">
        <v>109</v>
      </c>
      <c r="D6" s="37"/>
      <c r="E6" s="39" t="s">
        <v>109</v>
      </c>
      <c r="F6" s="43" t="s">
        <v>195</v>
      </c>
      <c r="G6" s="43" t="s">
        <v>196</v>
      </c>
      <c r="H6" s="47" t="s">
        <v>111</v>
      </c>
      <c r="I6" s="48"/>
      <c r="J6" s="49"/>
      <c r="K6" s="43" t="s">
        <v>195</v>
      </c>
      <c r="L6" s="43" t="s">
        <v>196</v>
      </c>
      <c r="M6" s="47" t="s">
        <v>111</v>
      </c>
      <c r="N6" s="48"/>
      <c r="O6" s="49"/>
    </row>
    <row r="7" spans="2:15">
      <c r="B7" s="38"/>
      <c r="C7" s="60">
        <v>40</v>
      </c>
      <c r="D7" s="60">
        <v>25</v>
      </c>
      <c r="E7" s="60">
        <v>40</v>
      </c>
      <c r="F7" s="38"/>
      <c r="G7" s="59"/>
      <c r="H7" s="50">
        <v>0.95</v>
      </c>
      <c r="I7" s="50">
        <v>0.9</v>
      </c>
      <c r="J7" s="50">
        <v>0.8</v>
      </c>
      <c r="K7" s="38"/>
      <c r="L7" s="59"/>
      <c r="M7" s="50">
        <v>0.95</v>
      </c>
      <c r="N7" s="50">
        <v>0.9</v>
      </c>
      <c r="O7" s="50">
        <v>0.8</v>
      </c>
    </row>
    <row r="8" spans="2:15">
      <c r="B8" s="39" t="s">
        <v>42</v>
      </c>
      <c r="C8" s="41">
        <v>20</v>
      </c>
      <c r="D8" s="41">
        <f>ROUNDDOWN(27*SQRT((75-$D$7)/30)*0.7,0)</f>
        <v>24</v>
      </c>
      <c r="E8" s="41"/>
      <c r="F8" s="64">
        <v>10.8</v>
      </c>
      <c r="G8" s="64">
        <v>0.11700000000000001</v>
      </c>
      <c r="H8" s="42">
        <v>10.3</v>
      </c>
      <c r="I8" s="42">
        <v>9.7799999999999994</v>
      </c>
      <c r="J8" s="42">
        <v>8.7200000000000006</v>
      </c>
      <c r="K8" s="64">
        <v>10.8</v>
      </c>
      <c r="L8" s="64">
        <v>0.14099999999999999</v>
      </c>
      <c r="M8" s="42">
        <v>10.4</v>
      </c>
      <c r="N8" s="42">
        <v>9.7899999999999991</v>
      </c>
      <c r="O8" s="42">
        <v>8.73</v>
      </c>
    </row>
    <row r="9" spans="2:15">
      <c r="B9" s="39" t="s">
        <v>43</v>
      </c>
      <c r="C9" s="41">
        <v>26</v>
      </c>
      <c r="D9" s="41">
        <f>ROUNDDOWN(35*SQRT((75-$D$7)/30)*0.7,0)</f>
        <v>31</v>
      </c>
      <c r="E9" s="41"/>
      <c r="F9" s="64">
        <v>6.87</v>
      </c>
      <c r="G9" s="64">
        <v>0.111</v>
      </c>
      <c r="H9" s="42">
        <v>6.57</v>
      </c>
      <c r="I9" s="42">
        <v>6.24</v>
      </c>
      <c r="J9" s="42">
        <v>5.57</v>
      </c>
      <c r="K9" s="64">
        <v>6.87</v>
      </c>
      <c r="L9" s="64">
        <v>0.13300000000000001</v>
      </c>
      <c r="M9" s="42">
        <v>6.57</v>
      </c>
      <c r="N9" s="42">
        <v>6.25</v>
      </c>
      <c r="O9" s="42">
        <v>5.58</v>
      </c>
    </row>
    <row r="10" spans="2:15">
      <c r="B10" s="39" t="s">
        <v>44</v>
      </c>
      <c r="C10" s="41">
        <v>37</v>
      </c>
      <c r="D10" s="41">
        <f>ROUNDDOWN(49*SQRT((75-$D$7)/30)*0.7,0)</f>
        <v>44</v>
      </c>
      <c r="E10" s="41"/>
      <c r="F10" s="64">
        <v>4.05</v>
      </c>
      <c r="G10" s="64">
        <v>0.106</v>
      </c>
      <c r="H10" s="42">
        <v>3.89</v>
      </c>
      <c r="I10" s="42">
        <v>3.7</v>
      </c>
      <c r="J10" s="42">
        <v>3.31</v>
      </c>
      <c r="K10" s="64">
        <v>4.05</v>
      </c>
      <c r="L10" s="64">
        <v>0.127</v>
      </c>
      <c r="M10" s="42">
        <v>3.89</v>
      </c>
      <c r="N10" s="42">
        <v>3.71</v>
      </c>
      <c r="O10" s="42">
        <v>3.32</v>
      </c>
    </row>
    <row r="11" spans="2:15">
      <c r="B11" s="39" t="s">
        <v>45</v>
      </c>
      <c r="C11" s="41">
        <v>46</v>
      </c>
      <c r="D11" s="41">
        <f>ROUNDDOWN(61*SQRT((75-$D$7)/30)*0.7,0)</f>
        <v>55</v>
      </c>
      <c r="E11" s="41"/>
      <c r="F11" s="64">
        <v>2.81</v>
      </c>
      <c r="G11" s="64">
        <v>0.10199999999999999</v>
      </c>
      <c r="H11" s="42">
        <v>2.71</v>
      </c>
      <c r="I11" s="42">
        <v>2.58</v>
      </c>
      <c r="J11" s="42">
        <v>2.31</v>
      </c>
      <c r="K11" s="64">
        <v>2.81</v>
      </c>
      <c r="L11" s="64">
        <v>0.122</v>
      </c>
      <c r="M11" s="42">
        <v>2.71</v>
      </c>
      <c r="N11" s="42">
        <v>2.59</v>
      </c>
      <c r="O11" s="42">
        <v>2.33</v>
      </c>
    </row>
    <row r="12" spans="2:15">
      <c r="B12" s="39" t="s">
        <v>46</v>
      </c>
      <c r="C12" s="41">
        <v>66</v>
      </c>
      <c r="D12" s="41">
        <f>ROUNDDOWN(88*SQRT((75-$D$7)/30)*0.7,0)</f>
        <v>79</v>
      </c>
      <c r="E12" s="41"/>
      <c r="F12" s="64">
        <v>1.58</v>
      </c>
      <c r="G12" s="64">
        <v>9.5699999999999993E-2</v>
      </c>
      <c r="H12" s="42">
        <v>1.54</v>
      </c>
      <c r="I12" s="42">
        <v>1.47</v>
      </c>
      <c r="J12" s="42">
        <v>1.33</v>
      </c>
      <c r="K12" s="64">
        <v>1.58</v>
      </c>
      <c r="L12" s="64">
        <v>0.115</v>
      </c>
      <c r="M12" s="42">
        <v>1.54</v>
      </c>
      <c r="N12" s="42">
        <v>1.48</v>
      </c>
      <c r="O12" s="42">
        <v>1.34</v>
      </c>
    </row>
    <row r="13" spans="2:15">
      <c r="B13" s="39" t="s">
        <v>47</v>
      </c>
      <c r="C13" s="41">
        <v>86</v>
      </c>
      <c r="D13" s="41">
        <f>ROUNDDOWN(115*SQRT((75-$D$7)/30)*0.7,0)</f>
        <v>103</v>
      </c>
      <c r="E13" s="41"/>
      <c r="F13" s="64">
        <v>1</v>
      </c>
      <c r="G13" s="64">
        <v>9.4899999999999998E-2</v>
      </c>
      <c r="H13" s="42">
        <v>0.98</v>
      </c>
      <c r="I13" s="42">
        <v>0.94199999999999995</v>
      </c>
      <c r="J13" s="42">
        <v>0.85699999999999998</v>
      </c>
      <c r="K13" s="64">
        <v>1</v>
      </c>
      <c r="L13" s="64">
        <v>0.114</v>
      </c>
      <c r="M13" s="42">
        <v>0.98599999999999999</v>
      </c>
      <c r="N13" s="42">
        <v>0.95</v>
      </c>
      <c r="O13" s="42">
        <v>0.86899999999999999</v>
      </c>
    </row>
    <row r="14" spans="2:15">
      <c r="B14" s="39" t="s">
        <v>48</v>
      </c>
      <c r="C14" s="41">
        <v>122</v>
      </c>
      <c r="D14" s="41">
        <f>ROUNDDOWN(162*SQRT((75-$D$7)/30)*0.7,0)</f>
        <v>146</v>
      </c>
      <c r="E14" s="41"/>
      <c r="F14" s="64">
        <v>0.59299999999999997</v>
      </c>
      <c r="G14" s="64">
        <v>9.06E-2</v>
      </c>
      <c r="H14" s="42">
        <v>0.59199999999999997</v>
      </c>
      <c r="I14" s="42">
        <v>0.57399999999999995</v>
      </c>
      <c r="J14" s="42">
        <v>0.52900000000000003</v>
      </c>
      <c r="K14" s="64">
        <v>0.59299999999999997</v>
      </c>
      <c r="L14" s="64">
        <v>0.109</v>
      </c>
      <c r="M14" s="42">
        <v>0.59799999999999998</v>
      </c>
      <c r="N14" s="42">
        <v>0.58199999999999996</v>
      </c>
      <c r="O14" s="42">
        <v>0.54</v>
      </c>
    </row>
    <row r="15" spans="2:15">
      <c r="B15" s="39" t="s">
        <v>49</v>
      </c>
      <c r="C15" s="41">
        <v>164</v>
      </c>
      <c r="D15" s="41">
        <f>ROUNDDOWN(217*SQRT((75-$D$7)/30)*0.7,0)</f>
        <v>196</v>
      </c>
      <c r="E15" s="41"/>
      <c r="F15" s="64">
        <v>0.36899999999999999</v>
      </c>
      <c r="G15" s="64">
        <v>9.0300000000000005E-2</v>
      </c>
      <c r="H15" s="42">
        <v>0.379</v>
      </c>
      <c r="I15" s="42">
        <v>0.372</v>
      </c>
      <c r="J15" s="42">
        <v>0.35</v>
      </c>
      <c r="K15" s="64">
        <v>0.36899999999999999</v>
      </c>
      <c r="L15" s="64">
        <v>0.108</v>
      </c>
      <c r="M15" s="42">
        <v>0.38500000000000001</v>
      </c>
      <c r="N15" s="42">
        <v>0.38</v>
      </c>
      <c r="O15" s="42">
        <v>0.36</v>
      </c>
    </row>
    <row r="16" spans="2:15">
      <c r="B16" s="39" t="s">
        <v>50</v>
      </c>
      <c r="C16" s="41">
        <v>225</v>
      </c>
      <c r="D16" s="41">
        <f>ROUNDDOWN(298*SQRT((75-$D$7)/30)*0.7,0)</f>
        <v>269</v>
      </c>
      <c r="E16" s="41"/>
      <c r="F16" s="64">
        <v>0.22</v>
      </c>
      <c r="G16" s="64">
        <v>9.06E-2</v>
      </c>
      <c r="H16" s="42">
        <v>0.23799999999999999</v>
      </c>
      <c r="I16" s="42">
        <v>0.23799999999999999</v>
      </c>
      <c r="J16" s="42">
        <v>0.23100000000000001</v>
      </c>
      <c r="K16" s="64">
        <v>0.22</v>
      </c>
      <c r="L16" s="64">
        <v>0.109</v>
      </c>
      <c r="M16" s="42">
        <v>0.24399999999999999</v>
      </c>
      <c r="N16" s="42">
        <v>0.246</v>
      </c>
      <c r="O16" s="42">
        <v>0.24199999999999999</v>
      </c>
    </row>
    <row r="17" spans="2:15">
      <c r="B17" s="39" t="s">
        <v>51</v>
      </c>
      <c r="C17" s="41">
        <v>298</v>
      </c>
      <c r="D17" s="41">
        <f>ROUNDDOWN(395*SQRT((75-$D$7)/30)*0.7,0)</f>
        <v>356</v>
      </c>
      <c r="E17" s="41"/>
      <c r="F17" s="64">
        <v>0.14499999999999999</v>
      </c>
      <c r="G17" s="64">
        <v>8.77E-2</v>
      </c>
      <c r="H17" s="42">
        <v>0.16600000000000001</v>
      </c>
      <c r="I17" s="42">
        <v>0.16900000000000001</v>
      </c>
      <c r="J17" s="42">
        <v>0.16900000000000001</v>
      </c>
      <c r="K17" s="64">
        <v>0.14599999999999999</v>
      </c>
      <c r="L17" s="64">
        <v>0.105</v>
      </c>
      <c r="M17" s="42">
        <v>0.17199999999999999</v>
      </c>
      <c r="N17" s="42">
        <v>0.17799999999999999</v>
      </c>
      <c r="O17" s="42">
        <v>0.18</v>
      </c>
    </row>
    <row r="18" spans="2:15">
      <c r="B18" s="39" t="s">
        <v>52</v>
      </c>
      <c r="C18" s="41">
        <v>354</v>
      </c>
      <c r="D18" s="41">
        <f>ROUNDDOWN(469*SQRT((75-$D$7)/30)*0.7,0)</f>
        <v>423</v>
      </c>
      <c r="E18" s="41"/>
      <c r="F18" s="64">
        <v>0.114</v>
      </c>
      <c r="G18" s="64">
        <v>8.8999999999999996E-2</v>
      </c>
      <c r="H18" s="42">
        <v>0.13700000000000001</v>
      </c>
      <c r="I18" s="42">
        <v>0.14199999999999999</v>
      </c>
      <c r="J18" s="42">
        <v>0.14499999999999999</v>
      </c>
      <c r="K18" s="64">
        <v>0.115</v>
      </c>
      <c r="L18" s="64">
        <v>0.107</v>
      </c>
      <c r="M18" s="42">
        <v>0.14299999999999999</v>
      </c>
      <c r="N18" s="42">
        <v>0.151</v>
      </c>
      <c r="O18" s="42">
        <v>0.157</v>
      </c>
    </row>
    <row r="19" spans="2:15">
      <c r="B19" s="39" t="s">
        <v>53</v>
      </c>
      <c r="C19" s="41">
        <v>420</v>
      </c>
      <c r="D19" s="41">
        <f>ROUNDDOWN(556*SQRT((75-$D$7)/30)*0.7,0)</f>
        <v>502</v>
      </c>
      <c r="E19" s="41"/>
      <c r="F19" s="64">
        <v>9.0499999999999997E-2</v>
      </c>
      <c r="G19" s="64">
        <v>8.7400000000000005E-2</v>
      </c>
      <c r="H19" s="42">
        <v>0.114</v>
      </c>
      <c r="I19" s="42">
        <v>0.12</v>
      </c>
      <c r="J19" s="42">
        <v>0.125</v>
      </c>
      <c r="K19" s="64">
        <v>9.1600000000000001E-2</v>
      </c>
      <c r="L19" s="64">
        <v>0.105</v>
      </c>
      <c r="M19" s="42">
        <v>0.12</v>
      </c>
      <c r="N19" s="42">
        <v>0.129</v>
      </c>
      <c r="O19" s="42">
        <v>0.13700000000000001</v>
      </c>
    </row>
    <row r="20" spans="2:15">
      <c r="B20" s="39" t="s">
        <v>54</v>
      </c>
      <c r="C20" s="41">
        <v>491</v>
      </c>
      <c r="D20" s="41">
        <f>ROUNDDOWN(650*SQRT((75-$D$7)/30)*0.7,0)</f>
        <v>587</v>
      </c>
      <c r="E20" s="41"/>
      <c r="F20" s="64">
        <v>7.22E-2</v>
      </c>
      <c r="G20" s="64">
        <v>8.5900000000000004E-2</v>
      </c>
      <c r="H20" s="42">
        <v>9.6000000000000002E-2</v>
      </c>
      <c r="I20" s="42">
        <v>0.10299999999999999</v>
      </c>
      <c r="J20" s="42">
        <v>0.11</v>
      </c>
      <c r="K20" s="64">
        <v>7.3599999999999999E-2</v>
      </c>
      <c r="L20" s="64">
        <v>0.10299999999999999</v>
      </c>
      <c r="M20" s="42">
        <v>0.10299999999999999</v>
      </c>
      <c r="N20" s="42">
        <v>0.112</v>
      </c>
      <c r="O20" s="42">
        <v>0.121</v>
      </c>
    </row>
    <row r="21" spans="2:15">
      <c r="B21" s="39" t="s">
        <v>55</v>
      </c>
      <c r="C21" s="41">
        <v>18</v>
      </c>
      <c r="D21" s="41">
        <f>ROUNDDOWN(27*SQRT((75-$D$7)/30)*0.63,0)</f>
        <v>21</v>
      </c>
      <c r="E21" s="41"/>
      <c r="F21" s="64">
        <v>10.8</v>
      </c>
      <c r="G21" s="64">
        <v>0.11700000000000001</v>
      </c>
      <c r="H21" s="42">
        <v>10.3</v>
      </c>
      <c r="I21" s="42">
        <v>9.7799999999999994</v>
      </c>
      <c r="J21" s="42">
        <v>8.7200000000000006</v>
      </c>
      <c r="K21" s="64">
        <v>10.8</v>
      </c>
      <c r="L21" s="64">
        <v>0.14099999999999999</v>
      </c>
      <c r="M21" s="42">
        <v>10.4</v>
      </c>
      <c r="N21" s="42">
        <v>9.7899999999999991</v>
      </c>
      <c r="O21" s="42">
        <v>8.73</v>
      </c>
    </row>
    <row r="22" spans="2:15">
      <c r="B22" s="39" t="s">
        <v>56</v>
      </c>
      <c r="C22" s="41">
        <v>23</v>
      </c>
      <c r="D22" s="41">
        <f>ROUNDDOWN(35*SQRT((75-$D$7)/30)*0.63,0)</f>
        <v>28</v>
      </c>
      <c r="E22" s="41"/>
      <c r="F22" s="64">
        <v>6.87</v>
      </c>
      <c r="G22" s="64">
        <v>0.111</v>
      </c>
      <c r="H22" s="42">
        <v>6.57</v>
      </c>
      <c r="I22" s="42">
        <v>6.24</v>
      </c>
      <c r="J22" s="42">
        <v>5.57</v>
      </c>
      <c r="K22" s="64">
        <v>6.87</v>
      </c>
      <c r="L22" s="64">
        <v>0.13300000000000001</v>
      </c>
      <c r="M22" s="42">
        <v>6.57</v>
      </c>
      <c r="N22" s="42">
        <v>6.25</v>
      </c>
      <c r="O22" s="42">
        <v>5.58</v>
      </c>
    </row>
    <row r="23" spans="2:15">
      <c r="B23" s="39" t="s">
        <v>57</v>
      </c>
      <c r="C23" s="41">
        <v>33</v>
      </c>
      <c r="D23" s="41">
        <f>ROUNDDOWN(49*SQRT((75-$D$7)/30)*0.63,0)</f>
        <v>39</v>
      </c>
      <c r="E23" s="41"/>
      <c r="F23" s="64">
        <v>4.05</v>
      </c>
      <c r="G23" s="64">
        <v>0.106</v>
      </c>
      <c r="H23" s="42">
        <v>3.89</v>
      </c>
      <c r="I23" s="42">
        <v>3.7</v>
      </c>
      <c r="J23" s="42">
        <v>3.31</v>
      </c>
      <c r="K23" s="64">
        <v>4.05</v>
      </c>
      <c r="L23" s="64">
        <v>0.127</v>
      </c>
      <c r="M23" s="42">
        <v>3.89</v>
      </c>
      <c r="N23" s="42">
        <v>3.71</v>
      </c>
      <c r="O23" s="42">
        <v>3.32</v>
      </c>
    </row>
    <row r="24" spans="2:15">
      <c r="B24" s="39" t="s">
        <v>58</v>
      </c>
      <c r="C24" s="41">
        <v>41</v>
      </c>
      <c r="D24" s="41">
        <f>ROUNDDOWN(61*SQRT((75-$D$7)/30)*0.63,0)</f>
        <v>49</v>
      </c>
      <c r="E24" s="41"/>
      <c r="F24" s="64">
        <v>2.81</v>
      </c>
      <c r="G24" s="64">
        <v>0.10199999999999999</v>
      </c>
      <c r="H24" s="42">
        <v>2.71</v>
      </c>
      <c r="I24" s="42">
        <v>2.58</v>
      </c>
      <c r="J24" s="42">
        <v>2.31</v>
      </c>
      <c r="K24" s="64">
        <v>2.81</v>
      </c>
      <c r="L24" s="64">
        <v>0.122</v>
      </c>
      <c r="M24" s="42">
        <v>2.71</v>
      </c>
      <c r="N24" s="42">
        <v>2.59</v>
      </c>
      <c r="O24" s="42">
        <v>2.33</v>
      </c>
    </row>
    <row r="25" spans="2:15">
      <c r="B25" s="39" t="s">
        <v>59</v>
      </c>
      <c r="C25" s="41">
        <v>59</v>
      </c>
      <c r="D25" s="41">
        <f>ROUNDDOWN(88*SQRT((75-$D$7)/30)*0.63,0)</f>
        <v>71</v>
      </c>
      <c r="E25" s="41"/>
      <c r="F25" s="64">
        <v>1.58</v>
      </c>
      <c r="G25" s="64">
        <v>9.5699999999999993E-2</v>
      </c>
      <c r="H25" s="42">
        <v>1.54</v>
      </c>
      <c r="I25" s="42">
        <v>1.47</v>
      </c>
      <c r="J25" s="42">
        <v>1.33</v>
      </c>
      <c r="K25" s="64">
        <v>1.58</v>
      </c>
      <c r="L25" s="64">
        <v>0.115</v>
      </c>
      <c r="M25" s="42">
        <v>1.54</v>
      </c>
      <c r="N25" s="42">
        <v>1.48</v>
      </c>
      <c r="O25" s="42">
        <v>1.34</v>
      </c>
    </row>
    <row r="26" spans="2:15">
      <c r="B26" s="39" t="s">
        <v>60</v>
      </c>
      <c r="C26" s="41">
        <v>78</v>
      </c>
      <c r="D26" s="41">
        <f>ROUNDDOWN(115*SQRT((75-$D$7)/30)*0.63,0)</f>
        <v>93</v>
      </c>
      <c r="E26" s="41"/>
      <c r="F26" s="64">
        <v>1</v>
      </c>
      <c r="G26" s="64">
        <v>9.4899999999999998E-2</v>
      </c>
      <c r="H26" s="42">
        <v>0.98</v>
      </c>
      <c r="I26" s="42">
        <v>0.94199999999999995</v>
      </c>
      <c r="J26" s="42">
        <v>0.85699999999999998</v>
      </c>
      <c r="K26" s="64">
        <v>1</v>
      </c>
      <c r="L26" s="64">
        <v>0.114</v>
      </c>
      <c r="M26" s="42">
        <v>0.98599999999999999</v>
      </c>
      <c r="N26" s="42">
        <v>0.95</v>
      </c>
      <c r="O26" s="42">
        <v>0.86899999999999999</v>
      </c>
    </row>
    <row r="27" spans="2:15">
      <c r="B27" s="39" t="s">
        <v>61</v>
      </c>
      <c r="C27" s="41">
        <v>110</v>
      </c>
      <c r="D27" s="41">
        <f>ROUNDDOWN(162*SQRT((75-$D$7)/30)*0.63,0)</f>
        <v>131</v>
      </c>
      <c r="E27" s="41"/>
      <c r="F27" s="64">
        <v>0.59299999999999997</v>
      </c>
      <c r="G27" s="64">
        <v>9.06E-2</v>
      </c>
      <c r="H27" s="42">
        <v>0.59199999999999997</v>
      </c>
      <c r="I27" s="42">
        <v>0.57399999999999995</v>
      </c>
      <c r="J27" s="42">
        <v>0.52900000000000003</v>
      </c>
      <c r="K27" s="64">
        <v>0.59299999999999997</v>
      </c>
      <c r="L27" s="64">
        <v>0.109</v>
      </c>
      <c r="M27" s="42">
        <v>0.59799999999999998</v>
      </c>
      <c r="N27" s="42">
        <v>0.58199999999999996</v>
      </c>
      <c r="O27" s="42">
        <v>0.54</v>
      </c>
    </row>
    <row r="28" spans="2:15">
      <c r="B28" s="39" t="s">
        <v>62</v>
      </c>
      <c r="C28" s="41">
        <v>147</v>
      </c>
      <c r="D28" s="41">
        <f>ROUNDDOWN(217*SQRT((75-$D$7)/30)*0.63,0)</f>
        <v>176</v>
      </c>
      <c r="E28" s="41"/>
      <c r="F28" s="64">
        <v>0.36899999999999999</v>
      </c>
      <c r="G28" s="64">
        <v>9.0300000000000005E-2</v>
      </c>
      <c r="H28" s="42">
        <v>0.379</v>
      </c>
      <c r="I28" s="42">
        <v>0.372</v>
      </c>
      <c r="J28" s="42">
        <v>0.35</v>
      </c>
      <c r="K28" s="64">
        <v>0.36899999999999999</v>
      </c>
      <c r="L28" s="64">
        <v>0.108</v>
      </c>
      <c r="M28" s="42">
        <v>0.38500000000000001</v>
      </c>
      <c r="N28" s="42">
        <v>0.38</v>
      </c>
      <c r="O28" s="42">
        <v>0.36</v>
      </c>
    </row>
    <row r="29" spans="2:15">
      <c r="B29" s="39" t="s">
        <v>63</v>
      </c>
      <c r="C29" s="41">
        <v>202</v>
      </c>
      <c r="D29" s="41">
        <f>ROUNDDOWN(298*SQRT((75-$D$7)/30)*0.63,0)</f>
        <v>242</v>
      </c>
      <c r="E29" s="41"/>
      <c r="F29" s="64">
        <v>0.22</v>
      </c>
      <c r="G29" s="64">
        <v>9.06E-2</v>
      </c>
      <c r="H29" s="42">
        <v>0.23799999999999999</v>
      </c>
      <c r="I29" s="42">
        <v>0.23799999999999999</v>
      </c>
      <c r="J29" s="42">
        <v>0.23100000000000001</v>
      </c>
      <c r="K29" s="64">
        <v>0.22</v>
      </c>
      <c r="L29" s="64">
        <v>0.109</v>
      </c>
      <c r="M29" s="42">
        <v>0.24399999999999999</v>
      </c>
      <c r="N29" s="42">
        <v>0.246</v>
      </c>
      <c r="O29" s="42">
        <v>0.24199999999999999</v>
      </c>
    </row>
    <row r="30" spans="2:15">
      <c r="B30" s="39" t="s">
        <v>64</v>
      </c>
      <c r="C30" s="41">
        <v>268</v>
      </c>
      <c r="D30" s="41">
        <f>ROUNDDOWN(395*SQRT((75-$D$7)/30)*0.63,0)</f>
        <v>321</v>
      </c>
      <c r="E30" s="41"/>
      <c r="F30" s="64">
        <v>0.14499999999999999</v>
      </c>
      <c r="G30" s="64">
        <v>8.77E-2</v>
      </c>
      <c r="H30" s="42">
        <v>0.16600000000000001</v>
      </c>
      <c r="I30" s="42">
        <v>0.16900000000000001</v>
      </c>
      <c r="J30" s="42">
        <v>0.16900000000000001</v>
      </c>
      <c r="K30" s="64">
        <v>0.14599999999999999</v>
      </c>
      <c r="L30" s="64">
        <v>0.105</v>
      </c>
      <c r="M30" s="42">
        <v>0.17199999999999999</v>
      </c>
      <c r="N30" s="42">
        <v>0.17799999999999999</v>
      </c>
      <c r="O30" s="42">
        <v>0.18</v>
      </c>
    </row>
    <row r="31" spans="2:15">
      <c r="B31" s="39" t="s">
        <v>65</v>
      </c>
      <c r="C31" s="41">
        <v>319</v>
      </c>
      <c r="D31" s="41">
        <f>ROUNDDOWN(469*SQRT((75-$D$7)/30)*0.63,0)</f>
        <v>381</v>
      </c>
      <c r="E31" s="41"/>
      <c r="F31" s="64">
        <v>0.114</v>
      </c>
      <c r="G31" s="64">
        <v>8.8999999999999996E-2</v>
      </c>
      <c r="H31" s="42">
        <v>0.13700000000000001</v>
      </c>
      <c r="I31" s="42">
        <v>0.14199999999999999</v>
      </c>
      <c r="J31" s="42">
        <v>0.14499999999999999</v>
      </c>
      <c r="K31" s="64">
        <v>0.115</v>
      </c>
      <c r="L31" s="64">
        <v>0.107</v>
      </c>
      <c r="M31" s="42">
        <v>0.14299999999999999</v>
      </c>
      <c r="N31" s="42">
        <v>0.151</v>
      </c>
      <c r="O31" s="42">
        <v>0.157</v>
      </c>
    </row>
    <row r="32" spans="2:15">
      <c r="B32" s="39" t="s">
        <v>66</v>
      </c>
      <c r="C32" s="41">
        <v>378</v>
      </c>
      <c r="D32" s="41">
        <f>ROUNDDOWN(556*SQRT((75-$D$7)/30)*0.63,0)</f>
        <v>452</v>
      </c>
      <c r="E32" s="41"/>
      <c r="F32" s="64">
        <v>9.0499999999999997E-2</v>
      </c>
      <c r="G32" s="64">
        <v>8.7400000000000005E-2</v>
      </c>
      <c r="H32" s="42">
        <v>0.114</v>
      </c>
      <c r="I32" s="42">
        <v>0.12</v>
      </c>
      <c r="J32" s="42">
        <v>0.125</v>
      </c>
      <c r="K32" s="64">
        <v>9.1600000000000001E-2</v>
      </c>
      <c r="L32" s="64">
        <v>0.105</v>
      </c>
      <c r="M32" s="42">
        <v>0.12</v>
      </c>
      <c r="N32" s="42">
        <v>0.129</v>
      </c>
      <c r="O32" s="42">
        <v>0.13700000000000001</v>
      </c>
    </row>
    <row r="33" spans="2:15">
      <c r="B33" s="39" t="s">
        <v>67</v>
      </c>
      <c r="C33" s="41">
        <v>442</v>
      </c>
      <c r="D33" s="41">
        <f>ROUNDDOWN(650*SQRT((75-$D$7)/30)*0.63,0)</f>
        <v>528</v>
      </c>
      <c r="E33" s="41"/>
      <c r="F33" s="64">
        <v>7.22E-2</v>
      </c>
      <c r="G33" s="64">
        <v>8.5900000000000004E-2</v>
      </c>
      <c r="H33" s="42">
        <v>9.6000000000000002E-2</v>
      </c>
      <c r="I33" s="42">
        <v>0.10299999999999999</v>
      </c>
      <c r="J33" s="42">
        <v>0.11</v>
      </c>
      <c r="K33" s="64">
        <v>7.3599999999999999E-2</v>
      </c>
      <c r="L33" s="64">
        <v>0.10299999999999999</v>
      </c>
      <c r="M33" s="42">
        <v>0.10299999999999999</v>
      </c>
      <c r="N33" s="42">
        <v>0.112</v>
      </c>
      <c r="O33" s="42">
        <v>0.121</v>
      </c>
    </row>
    <row r="34" spans="2:15">
      <c r="B34" s="39" t="s">
        <v>68</v>
      </c>
      <c r="C34" s="41">
        <v>16</v>
      </c>
      <c r="D34" s="41">
        <f>ROUNDDOWN(27*SQRT((75-$D$7)/30)*0.56,0)</f>
        <v>19</v>
      </c>
      <c r="E34" s="41"/>
      <c r="F34" s="64">
        <v>10.8</v>
      </c>
      <c r="G34" s="64">
        <v>0.11700000000000001</v>
      </c>
      <c r="H34" s="42">
        <v>10.3</v>
      </c>
      <c r="I34" s="42">
        <v>9.7799999999999994</v>
      </c>
      <c r="J34" s="42">
        <v>8.7200000000000006</v>
      </c>
      <c r="K34" s="64">
        <v>10.8</v>
      </c>
      <c r="L34" s="64">
        <v>0.14099999999999999</v>
      </c>
      <c r="M34" s="42">
        <v>10.4</v>
      </c>
      <c r="N34" s="42">
        <v>9.7899999999999991</v>
      </c>
      <c r="O34" s="42">
        <v>8.73</v>
      </c>
    </row>
    <row r="35" spans="2:15">
      <c r="B35" s="39" t="s">
        <v>69</v>
      </c>
      <c r="C35" s="41">
        <v>21</v>
      </c>
      <c r="D35" s="41">
        <f>ROUNDDOWN(35*SQRT((75-$D$7)/30)*0.56,0)</f>
        <v>25</v>
      </c>
      <c r="E35" s="41"/>
      <c r="F35" s="64">
        <v>6.87</v>
      </c>
      <c r="G35" s="64">
        <v>0.111</v>
      </c>
      <c r="H35" s="42">
        <v>6.57</v>
      </c>
      <c r="I35" s="42">
        <v>6.24</v>
      </c>
      <c r="J35" s="42">
        <v>5.57</v>
      </c>
      <c r="K35" s="64">
        <v>6.87</v>
      </c>
      <c r="L35" s="64">
        <v>0.13300000000000001</v>
      </c>
      <c r="M35" s="42">
        <v>6.57</v>
      </c>
      <c r="N35" s="42">
        <v>6.25</v>
      </c>
      <c r="O35" s="42">
        <v>5.58</v>
      </c>
    </row>
    <row r="36" spans="2:15">
      <c r="B36" s="39" t="s">
        <v>70</v>
      </c>
      <c r="C36" s="41">
        <v>29</v>
      </c>
      <c r="D36" s="41">
        <f>ROUNDDOWN(49*SQRT((75-$D$7)/30)*0.56,0)</f>
        <v>35</v>
      </c>
      <c r="E36" s="41"/>
      <c r="F36" s="64">
        <v>4.05</v>
      </c>
      <c r="G36" s="64">
        <v>0.106</v>
      </c>
      <c r="H36" s="42">
        <v>3.89</v>
      </c>
      <c r="I36" s="42">
        <v>3.7</v>
      </c>
      <c r="J36" s="42">
        <v>3.31</v>
      </c>
      <c r="K36" s="64">
        <v>4.05</v>
      </c>
      <c r="L36" s="64">
        <v>0.127</v>
      </c>
      <c r="M36" s="42">
        <v>3.89</v>
      </c>
      <c r="N36" s="42">
        <v>3.71</v>
      </c>
      <c r="O36" s="42">
        <v>3.32</v>
      </c>
    </row>
    <row r="37" spans="2:15">
      <c r="B37" s="39" t="s">
        <v>71</v>
      </c>
      <c r="C37" s="41">
        <v>36</v>
      </c>
      <c r="D37" s="41">
        <f>ROUNDDOWN(61*SQRT((75-$D$7)/30)*0.56,0)</f>
        <v>44</v>
      </c>
      <c r="E37" s="41"/>
      <c r="F37" s="64">
        <v>2.81</v>
      </c>
      <c r="G37" s="64">
        <v>0.10199999999999999</v>
      </c>
      <c r="H37" s="42">
        <v>2.71</v>
      </c>
      <c r="I37" s="42">
        <v>2.58</v>
      </c>
      <c r="J37" s="42">
        <v>2.31</v>
      </c>
      <c r="K37" s="64">
        <v>2.81</v>
      </c>
      <c r="L37" s="64">
        <v>0.122</v>
      </c>
      <c r="M37" s="42">
        <v>2.71</v>
      </c>
      <c r="N37" s="42">
        <v>2.59</v>
      </c>
      <c r="O37" s="42">
        <v>2.33</v>
      </c>
    </row>
    <row r="38" spans="2:15">
      <c r="B38" s="39" t="s">
        <v>80</v>
      </c>
      <c r="C38" s="41">
        <v>53</v>
      </c>
      <c r="D38" s="41">
        <f>ROUNDDOWN(88*SQRT((75-$D$7)/30)*0.56,0)</f>
        <v>63</v>
      </c>
      <c r="E38" s="41"/>
      <c r="F38" s="64">
        <v>1.58</v>
      </c>
      <c r="G38" s="64">
        <v>9.5699999999999993E-2</v>
      </c>
      <c r="H38" s="42">
        <v>1.54</v>
      </c>
      <c r="I38" s="42">
        <v>1.47</v>
      </c>
      <c r="J38" s="42">
        <v>1.33</v>
      </c>
      <c r="K38" s="64">
        <v>1.58</v>
      </c>
      <c r="L38" s="64">
        <v>0.115</v>
      </c>
      <c r="M38" s="42">
        <v>1.54</v>
      </c>
      <c r="N38" s="42">
        <v>1.48</v>
      </c>
      <c r="O38" s="42">
        <v>1.34</v>
      </c>
    </row>
    <row r="39" spans="2:15">
      <c r="B39" s="39" t="s">
        <v>72</v>
      </c>
      <c r="C39" s="41">
        <v>69</v>
      </c>
      <c r="D39" s="41">
        <f>ROUNDDOWN(115*SQRT((75-$D$7)/30)*0.56,0)</f>
        <v>83</v>
      </c>
      <c r="E39" s="41"/>
      <c r="F39" s="64">
        <v>1</v>
      </c>
      <c r="G39" s="64">
        <v>9.4899999999999998E-2</v>
      </c>
      <c r="H39" s="42">
        <v>0.98</v>
      </c>
      <c r="I39" s="42">
        <v>0.94199999999999995</v>
      </c>
      <c r="J39" s="42">
        <v>0.85699999999999998</v>
      </c>
      <c r="K39" s="64">
        <v>1</v>
      </c>
      <c r="L39" s="64">
        <v>0.114</v>
      </c>
      <c r="M39" s="42">
        <v>0.98599999999999999</v>
      </c>
      <c r="N39" s="42">
        <v>0.95</v>
      </c>
      <c r="O39" s="42">
        <v>0.86899999999999999</v>
      </c>
    </row>
    <row r="40" spans="2:15">
      <c r="B40" s="39" t="s">
        <v>73</v>
      </c>
      <c r="C40" s="41">
        <v>97</v>
      </c>
      <c r="D40" s="41">
        <f>ROUNDDOWN(162*SQRT((75-$D$7)/30)*0.56,0)</f>
        <v>117</v>
      </c>
      <c r="E40" s="41"/>
      <c r="F40" s="64">
        <v>0.59299999999999997</v>
      </c>
      <c r="G40" s="64">
        <v>9.06E-2</v>
      </c>
      <c r="H40" s="42">
        <v>0.59199999999999997</v>
      </c>
      <c r="I40" s="42">
        <v>0.57399999999999995</v>
      </c>
      <c r="J40" s="42">
        <v>0.52900000000000003</v>
      </c>
      <c r="K40" s="64">
        <v>0.59299999999999997</v>
      </c>
      <c r="L40" s="64">
        <v>0.109</v>
      </c>
      <c r="M40" s="42">
        <v>0.59799999999999998</v>
      </c>
      <c r="N40" s="42">
        <v>0.58199999999999996</v>
      </c>
      <c r="O40" s="42">
        <v>0.54</v>
      </c>
    </row>
    <row r="41" spans="2:15">
      <c r="B41" s="39" t="s">
        <v>74</v>
      </c>
      <c r="C41" s="41">
        <v>131</v>
      </c>
      <c r="D41" s="41">
        <f>ROUNDDOWN(217*SQRT((75-$D$7)/30)*0.56,0)</f>
        <v>156</v>
      </c>
      <c r="E41" s="41"/>
      <c r="F41" s="64">
        <v>0.36899999999999999</v>
      </c>
      <c r="G41" s="64">
        <v>9.0300000000000005E-2</v>
      </c>
      <c r="H41" s="42">
        <v>0.379</v>
      </c>
      <c r="I41" s="42">
        <v>0.372</v>
      </c>
      <c r="J41" s="42">
        <v>0.35</v>
      </c>
      <c r="K41" s="64">
        <v>0.36899999999999999</v>
      </c>
      <c r="L41" s="64">
        <v>0.108</v>
      </c>
      <c r="M41" s="42">
        <v>0.38500000000000001</v>
      </c>
      <c r="N41" s="42">
        <v>0.38</v>
      </c>
      <c r="O41" s="42">
        <v>0.36</v>
      </c>
    </row>
    <row r="42" spans="2:15">
      <c r="B42" s="39" t="s">
        <v>75</v>
      </c>
      <c r="C42" s="41">
        <v>180</v>
      </c>
      <c r="D42" s="41">
        <f>ROUNDDOWN(298*SQRT((75-$D$7)/30)*0.56,0)</f>
        <v>215</v>
      </c>
      <c r="E42" s="41"/>
      <c r="F42" s="64">
        <v>0.22</v>
      </c>
      <c r="G42" s="64">
        <v>9.06E-2</v>
      </c>
      <c r="H42" s="42">
        <v>0.23799999999999999</v>
      </c>
      <c r="I42" s="42">
        <v>0.23799999999999999</v>
      </c>
      <c r="J42" s="42">
        <v>0.23100000000000001</v>
      </c>
      <c r="K42" s="64">
        <v>0.22</v>
      </c>
      <c r="L42" s="64">
        <v>0.109</v>
      </c>
      <c r="M42" s="42">
        <v>0.24399999999999999</v>
      </c>
      <c r="N42" s="42">
        <v>0.246</v>
      </c>
      <c r="O42" s="42">
        <v>0.24199999999999999</v>
      </c>
    </row>
    <row r="43" spans="2:15">
      <c r="B43" s="39" t="s">
        <v>76</v>
      </c>
      <c r="C43" s="41">
        <v>238</v>
      </c>
      <c r="D43" s="41">
        <f>ROUNDDOWN(395*SQRT((75-$D$7)/30)*0.56,0)</f>
        <v>285</v>
      </c>
      <c r="E43" s="41"/>
      <c r="F43" s="64">
        <v>0.14499999999999999</v>
      </c>
      <c r="G43" s="64">
        <v>8.77E-2</v>
      </c>
      <c r="H43" s="42">
        <v>0.16600000000000001</v>
      </c>
      <c r="I43" s="42">
        <v>0.16900000000000001</v>
      </c>
      <c r="J43" s="42">
        <v>0.16900000000000001</v>
      </c>
      <c r="K43" s="64">
        <v>0.14599999999999999</v>
      </c>
      <c r="L43" s="64">
        <v>0.105</v>
      </c>
      <c r="M43" s="42">
        <v>0.17199999999999999</v>
      </c>
      <c r="N43" s="42">
        <v>0.17799999999999999</v>
      </c>
      <c r="O43" s="42">
        <v>0.18</v>
      </c>
    </row>
    <row r="44" spans="2:15">
      <c r="B44" s="39" t="s">
        <v>77</v>
      </c>
      <c r="C44" s="41">
        <v>283</v>
      </c>
      <c r="D44" s="41">
        <f>ROUNDDOWN(469*SQRT((75-$D$7)/30)*0.56,0)</f>
        <v>339</v>
      </c>
      <c r="E44" s="41"/>
      <c r="F44" s="64">
        <v>0.114</v>
      </c>
      <c r="G44" s="64">
        <v>8.8999999999999996E-2</v>
      </c>
      <c r="H44" s="42">
        <v>0.13700000000000001</v>
      </c>
      <c r="I44" s="42">
        <v>0.14199999999999999</v>
      </c>
      <c r="J44" s="42">
        <v>0.14499999999999999</v>
      </c>
      <c r="K44" s="64">
        <v>0.115</v>
      </c>
      <c r="L44" s="64">
        <v>0.107</v>
      </c>
      <c r="M44" s="42">
        <v>0.14299999999999999</v>
      </c>
      <c r="N44" s="42">
        <v>0.151</v>
      </c>
      <c r="O44" s="42">
        <v>0.157</v>
      </c>
    </row>
    <row r="45" spans="2:15">
      <c r="B45" s="39" t="s">
        <v>78</v>
      </c>
      <c r="C45" s="41">
        <v>336</v>
      </c>
      <c r="D45" s="41">
        <f>ROUNDDOWN(556*SQRT((75-$D$7)/30)*0.56,0)</f>
        <v>401</v>
      </c>
      <c r="E45" s="41"/>
      <c r="F45" s="64">
        <v>9.0499999999999997E-2</v>
      </c>
      <c r="G45" s="64">
        <v>8.7400000000000005E-2</v>
      </c>
      <c r="H45" s="42">
        <v>0.114</v>
      </c>
      <c r="I45" s="42">
        <v>0.12</v>
      </c>
      <c r="J45" s="42">
        <v>0.125</v>
      </c>
      <c r="K45" s="64">
        <v>9.1600000000000001E-2</v>
      </c>
      <c r="L45" s="64">
        <v>0.105</v>
      </c>
      <c r="M45" s="42">
        <v>0.12</v>
      </c>
      <c r="N45" s="42">
        <v>0.129</v>
      </c>
      <c r="O45" s="42">
        <v>0.13700000000000001</v>
      </c>
    </row>
    <row r="46" spans="2:15">
      <c r="B46" s="39" t="s">
        <v>79</v>
      </c>
      <c r="C46" s="41">
        <v>393</v>
      </c>
      <c r="D46" s="41">
        <f>ROUNDDOWN(650*SQRT((75-$D$7)/30)*0.56,0)</f>
        <v>469</v>
      </c>
      <c r="E46" s="41"/>
      <c r="F46" s="64">
        <v>7.22E-2</v>
      </c>
      <c r="G46" s="64">
        <v>8.5900000000000004E-2</v>
      </c>
      <c r="H46" s="42">
        <v>9.6000000000000002E-2</v>
      </c>
      <c r="I46" s="42">
        <v>0.10299999999999999</v>
      </c>
      <c r="J46" s="42">
        <v>0.11</v>
      </c>
      <c r="K46" s="64">
        <v>7.3599999999999999E-2</v>
      </c>
      <c r="L46" s="64">
        <v>0.10299999999999999</v>
      </c>
      <c r="M46" s="42">
        <v>0.10299999999999999</v>
      </c>
      <c r="N46" s="42">
        <v>0.112</v>
      </c>
      <c r="O46" s="42">
        <v>0.121</v>
      </c>
    </row>
    <row r="47" spans="2:15">
      <c r="B47" s="39" t="s">
        <v>81</v>
      </c>
      <c r="C47" s="41">
        <v>14</v>
      </c>
      <c r="D47" s="41">
        <f>ROUNDDOWN(27*SQRT((75-$D$7)/30)*0.49,0)</f>
        <v>17</v>
      </c>
      <c r="E47" s="41"/>
      <c r="F47" s="64">
        <v>10.8</v>
      </c>
      <c r="G47" s="64">
        <v>0.11700000000000001</v>
      </c>
      <c r="H47" s="42">
        <v>10.3</v>
      </c>
      <c r="I47" s="42">
        <v>9.7799999999999994</v>
      </c>
      <c r="J47" s="42">
        <v>8.7200000000000006</v>
      </c>
      <c r="K47" s="64">
        <v>10.8</v>
      </c>
      <c r="L47" s="64">
        <v>0.14099999999999999</v>
      </c>
      <c r="M47" s="42">
        <v>10.4</v>
      </c>
      <c r="N47" s="42">
        <v>9.7899999999999991</v>
      </c>
      <c r="O47" s="42">
        <v>8.73</v>
      </c>
    </row>
    <row r="48" spans="2:15">
      <c r="B48" s="39" t="s">
        <v>82</v>
      </c>
      <c r="C48" s="41">
        <v>18</v>
      </c>
      <c r="D48" s="41">
        <f>ROUNDDOWN(35*SQRT((75-$D$7)/30)*0.49,0)</f>
        <v>22</v>
      </c>
      <c r="E48" s="41"/>
      <c r="F48" s="64">
        <v>6.87</v>
      </c>
      <c r="G48" s="64">
        <v>0.111</v>
      </c>
      <c r="H48" s="42">
        <v>6.57</v>
      </c>
      <c r="I48" s="42">
        <v>6.24</v>
      </c>
      <c r="J48" s="42">
        <v>5.57</v>
      </c>
      <c r="K48" s="64">
        <v>6.87</v>
      </c>
      <c r="L48" s="64">
        <v>0.13300000000000001</v>
      </c>
      <c r="M48" s="42">
        <v>6.57</v>
      </c>
      <c r="N48" s="42">
        <v>6.25</v>
      </c>
      <c r="O48" s="42">
        <v>5.58</v>
      </c>
    </row>
    <row r="49" spans="2:15">
      <c r="B49" s="39" t="s">
        <v>83</v>
      </c>
      <c r="C49" s="41">
        <v>25</v>
      </c>
      <c r="D49" s="41">
        <f>ROUNDDOWN(49*SQRT((75-$D$7)/30)*0.49,0)</f>
        <v>30</v>
      </c>
      <c r="E49" s="41"/>
      <c r="F49" s="64">
        <v>4.05</v>
      </c>
      <c r="G49" s="64">
        <v>0.106</v>
      </c>
      <c r="H49" s="42">
        <v>3.89</v>
      </c>
      <c r="I49" s="42">
        <v>3.7</v>
      </c>
      <c r="J49" s="42">
        <v>3.31</v>
      </c>
      <c r="K49" s="64">
        <v>4.05</v>
      </c>
      <c r="L49" s="64">
        <v>0.127</v>
      </c>
      <c r="M49" s="42">
        <v>3.89</v>
      </c>
      <c r="N49" s="42">
        <v>3.71</v>
      </c>
      <c r="O49" s="42">
        <v>3.32</v>
      </c>
    </row>
    <row r="50" spans="2:15">
      <c r="B50" s="39" t="s">
        <v>84</v>
      </c>
      <c r="C50" s="41">
        <v>32</v>
      </c>
      <c r="D50" s="41">
        <f>ROUNDDOWN(61*SQRT((75-$D$7)/30)*0.49,0)</f>
        <v>38</v>
      </c>
      <c r="E50" s="41"/>
      <c r="F50" s="64">
        <v>2.81</v>
      </c>
      <c r="G50" s="64">
        <v>0.10199999999999999</v>
      </c>
      <c r="H50" s="42">
        <v>2.71</v>
      </c>
      <c r="I50" s="42">
        <v>2.58</v>
      </c>
      <c r="J50" s="42">
        <v>2.31</v>
      </c>
      <c r="K50" s="64">
        <v>2.81</v>
      </c>
      <c r="L50" s="64">
        <v>0.122</v>
      </c>
      <c r="M50" s="42">
        <v>2.71</v>
      </c>
      <c r="N50" s="42">
        <v>2.59</v>
      </c>
      <c r="O50" s="42">
        <v>2.33</v>
      </c>
    </row>
    <row r="51" spans="2:15">
      <c r="B51" s="39" t="s">
        <v>85</v>
      </c>
      <c r="C51" s="41">
        <v>46</v>
      </c>
      <c r="D51" s="41">
        <f>ROUNDDOWN(88*SQRT((75-$D$7)/30)*0.49,0)</f>
        <v>55</v>
      </c>
      <c r="E51" s="41"/>
      <c r="F51" s="64">
        <v>1.58</v>
      </c>
      <c r="G51" s="64">
        <v>9.5699999999999993E-2</v>
      </c>
      <c r="H51" s="42">
        <v>1.54</v>
      </c>
      <c r="I51" s="42">
        <v>1.47</v>
      </c>
      <c r="J51" s="42">
        <v>1.33</v>
      </c>
      <c r="K51" s="64">
        <v>1.58</v>
      </c>
      <c r="L51" s="64">
        <v>0.115</v>
      </c>
      <c r="M51" s="42">
        <v>1.54</v>
      </c>
      <c r="N51" s="42">
        <v>1.48</v>
      </c>
      <c r="O51" s="42">
        <v>1.34</v>
      </c>
    </row>
    <row r="52" spans="2:15">
      <c r="B52" s="39" t="s">
        <v>86</v>
      </c>
      <c r="C52" s="41">
        <v>60</v>
      </c>
      <c r="D52" s="41">
        <f>ROUNDDOWN(115*SQRT((75-$D$7)/30)*0.49,0)</f>
        <v>72</v>
      </c>
      <c r="E52" s="41"/>
      <c r="F52" s="64">
        <v>1</v>
      </c>
      <c r="G52" s="64">
        <v>9.4899999999999998E-2</v>
      </c>
      <c r="H52" s="42">
        <v>0.98</v>
      </c>
      <c r="I52" s="42">
        <v>0.94199999999999995</v>
      </c>
      <c r="J52" s="42">
        <v>0.85699999999999998</v>
      </c>
      <c r="K52" s="64">
        <v>1</v>
      </c>
      <c r="L52" s="64">
        <v>0.114</v>
      </c>
      <c r="M52" s="42">
        <v>0.98599999999999999</v>
      </c>
      <c r="N52" s="42">
        <v>0.95</v>
      </c>
      <c r="O52" s="42">
        <v>0.86899999999999999</v>
      </c>
    </row>
    <row r="53" spans="2:15">
      <c r="B53" s="39" t="s">
        <v>87</v>
      </c>
      <c r="C53" s="41">
        <v>85</v>
      </c>
      <c r="D53" s="41">
        <f>ROUNDDOWN(162*SQRT((75-$D$7)/30)*0.49,0)</f>
        <v>102</v>
      </c>
      <c r="E53" s="41"/>
      <c r="F53" s="64">
        <v>0.59299999999999997</v>
      </c>
      <c r="G53" s="64">
        <v>9.06E-2</v>
      </c>
      <c r="H53" s="42">
        <v>0.59199999999999997</v>
      </c>
      <c r="I53" s="42">
        <v>0.57399999999999995</v>
      </c>
      <c r="J53" s="42">
        <v>0.52900000000000003</v>
      </c>
      <c r="K53" s="64">
        <v>0.59299999999999997</v>
      </c>
      <c r="L53" s="64">
        <v>0.109</v>
      </c>
      <c r="M53" s="42">
        <v>0.59799999999999998</v>
      </c>
      <c r="N53" s="42">
        <v>0.58199999999999996</v>
      </c>
      <c r="O53" s="42">
        <v>0.54</v>
      </c>
    </row>
    <row r="54" spans="2:15">
      <c r="B54" s="39" t="s">
        <v>88</v>
      </c>
      <c r="C54" s="41">
        <v>114</v>
      </c>
      <c r="D54" s="41">
        <f>ROUNDDOWN(217*SQRT((75-$D$7)/30)*0.49,0)</f>
        <v>137</v>
      </c>
      <c r="E54" s="41"/>
      <c r="F54" s="64">
        <v>0.36899999999999999</v>
      </c>
      <c r="G54" s="64">
        <v>9.0300000000000005E-2</v>
      </c>
      <c r="H54" s="42">
        <v>0.379</v>
      </c>
      <c r="I54" s="42">
        <v>0.372</v>
      </c>
      <c r="J54" s="42">
        <v>0.35</v>
      </c>
      <c r="K54" s="64">
        <v>0.36899999999999999</v>
      </c>
      <c r="L54" s="64">
        <v>0.108</v>
      </c>
      <c r="M54" s="42">
        <v>0.38500000000000001</v>
      </c>
      <c r="N54" s="42">
        <v>0.38</v>
      </c>
      <c r="O54" s="42">
        <v>0.36</v>
      </c>
    </row>
    <row r="55" spans="2:15">
      <c r="B55" s="39" t="s">
        <v>89</v>
      </c>
      <c r="C55" s="41">
        <v>157</v>
      </c>
      <c r="D55" s="41">
        <f>ROUNDDOWN(298*SQRT((75-$D$7)/30)*0.49,0)</f>
        <v>188</v>
      </c>
      <c r="E55" s="41"/>
      <c r="F55" s="64">
        <v>0.22</v>
      </c>
      <c r="G55" s="64">
        <v>9.06E-2</v>
      </c>
      <c r="H55" s="42">
        <v>0.23799999999999999</v>
      </c>
      <c r="I55" s="42">
        <v>0.23799999999999999</v>
      </c>
      <c r="J55" s="42">
        <v>0.23100000000000001</v>
      </c>
      <c r="K55" s="64">
        <v>0.22</v>
      </c>
      <c r="L55" s="64">
        <v>0.109</v>
      </c>
      <c r="M55" s="42">
        <v>0.24399999999999999</v>
      </c>
      <c r="N55" s="42">
        <v>0.246</v>
      </c>
      <c r="O55" s="42">
        <v>0.24199999999999999</v>
      </c>
    </row>
    <row r="56" spans="2:15">
      <c r="B56" s="39" t="s">
        <v>90</v>
      </c>
      <c r="C56" s="41">
        <v>209</v>
      </c>
      <c r="D56" s="41">
        <f>ROUNDDOWN(395*SQRT((75-$D$7)/30)*0.49,0)</f>
        <v>249</v>
      </c>
      <c r="E56" s="41"/>
      <c r="F56" s="64">
        <v>0.14499999999999999</v>
      </c>
      <c r="G56" s="64">
        <v>8.77E-2</v>
      </c>
      <c r="H56" s="42">
        <v>0.16600000000000001</v>
      </c>
      <c r="I56" s="42">
        <v>0.16900000000000001</v>
      </c>
      <c r="J56" s="42">
        <v>0.16900000000000001</v>
      </c>
      <c r="K56" s="64">
        <v>0.14599999999999999</v>
      </c>
      <c r="L56" s="64">
        <v>0.105</v>
      </c>
      <c r="M56" s="42">
        <v>0.17199999999999999</v>
      </c>
      <c r="N56" s="42">
        <v>0.17799999999999999</v>
      </c>
      <c r="O56" s="42">
        <v>0.18</v>
      </c>
    </row>
    <row r="57" spans="2:15">
      <c r="B57" s="39" t="s">
        <v>91</v>
      </c>
      <c r="C57" s="41">
        <v>248</v>
      </c>
      <c r="D57" s="41">
        <f>ROUNDDOWN(469*SQRT((75-$D$7)/30)*0.49,0)</f>
        <v>296</v>
      </c>
      <c r="E57" s="41"/>
      <c r="F57" s="64">
        <v>0.114</v>
      </c>
      <c r="G57" s="64">
        <v>8.8999999999999996E-2</v>
      </c>
      <c r="H57" s="42">
        <v>0.13700000000000001</v>
      </c>
      <c r="I57" s="42">
        <v>0.14199999999999999</v>
      </c>
      <c r="J57" s="42">
        <v>0.14499999999999999</v>
      </c>
      <c r="K57" s="64">
        <v>0.115</v>
      </c>
      <c r="L57" s="64">
        <v>0.107</v>
      </c>
      <c r="M57" s="42">
        <v>0.14299999999999999</v>
      </c>
      <c r="N57" s="42">
        <v>0.151</v>
      </c>
      <c r="O57" s="42">
        <v>0.157</v>
      </c>
    </row>
    <row r="58" spans="2:15">
      <c r="B58" s="39" t="s">
        <v>92</v>
      </c>
      <c r="C58" s="41">
        <v>294</v>
      </c>
      <c r="D58" s="41">
        <f>ROUNDDOWN(556*SQRT((75-$D$7)/30)*0.49,0)</f>
        <v>351</v>
      </c>
      <c r="E58" s="41"/>
      <c r="F58" s="64">
        <v>9.0499999999999997E-2</v>
      </c>
      <c r="G58" s="64">
        <v>8.7400000000000005E-2</v>
      </c>
      <c r="H58" s="42">
        <v>0.114</v>
      </c>
      <c r="I58" s="42">
        <v>0.12</v>
      </c>
      <c r="J58" s="42">
        <v>0.125</v>
      </c>
      <c r="K58" s="64">
        <v>9.1600000000000001E-2</v>
      </c>
      <c r="L58" s="64">
        <v>0.105</v>
      </c>
      <c r="M58" s="42">
        <v>0.12</v>
      </c>
      <c r="N58" s="42">
        <v>0.129</v>
      </c>
      <c r="O58" s="42">
        <v>0.13700000000000001</v>
      </c>
    </row>
    <row r="59" spans="2:15">
      <c r="B59" s="39" t="s">
        <v>93</v>
      </c>
      <c r="C59" s="41">
        <v>344</v>
      </c>
      <c r="D59" s="41">
        <f>ROUNDDOWN(650*SQRT((75-$D$7)/30)*0.49,0)</f>
        <v>411</v>
      </c>
      <c r="E59" s="41"/>
      <c r="F59" s="64">
        <v>7.22E-2</v>
      </c>
      <c r="G59" s="64">
        <v>8.5900000000000004E-2</v>
      </c>
      <c r="H59" s="42">
        <v>9.6000000000000002E-2</v>
      </c>
      <c r="I59" s="42">
        <v>0.10299999999999999</v>
      </c>
      <c r="J59" s="42">
        <v>0.11</v>
      </c>
      <c r="K59" s="64">
        <v>7.3599999999999999E-2</v>
      </c>
      <c r="L59" s="64">
        <v>0.10299999999999999</v>
      </c>
      <c r="M59" s="42">
        <v>0.10299999999999999</v>
      </c>
      <c r="N59" s="42">
        <v>0.112</v>
      </c>
      <c r="O59" s="42">
        <v>0.121</v>
      </c>
    </row>
    <row r="60" spans="2:15">
      <c r="B60" s="39" t="s">
        <v>94</v>
      </c>
      <c r="C60" s="41">
        <v>12</v>
      </c>
      <c r="D60" s="41">
        <f>ROUNDDOWN(27*SQRT((75-$D$7)/30)*0.43,0)</f>
        <v>14</v>
      </c>
      <c r="E60" s="41"/>
      <c r="F60" s="64">
        <v>10.8</v>
      </c>
      <c r="G60" s="64">
        <v>0.11700000000000001</v>
      </c>
      <c r="H60" s="42">
        <v>10.3</v>
      </c>
      <c r="I60" s="42">
        <v>9.7799999999999994</v>
      </c>
      <c r="J60" s="42">
        <v>8.7200000000000006</v>
      </c>
      <c r="K60" s="64">
        <v>10.8</v>
      </c>
      <c r="L60" s="64">
        <v>0.14099999999999999</v>
      </c>
      <c r="M60" s="42">
        <v>10.4</v>
      </c>
      <c r="N60" s="42">
        <v>9.7899999999999991</v>
      </c>
      <c r="O60" s="42">
        <v>8.73</v>
      </c>
    </row>
    <row r="61" spans="2:15">
      <c r="B61" s="39" t="s">
        <v>95</v>
      </c>
      <c r="C61" s="41">
        <v>16</v>
      </c>
      <c r="D61" s="41">
        <f>ROUNDDOWN(35*SQRT((75-$D$7)/30)*0.43,0)</f>
        <v>19</v>
      </c>
      <c r="E61" s="41"/>
      <c r="F61" s="64">
        <v>6.87</v>
      </c>
      <c r="G61" s="64">
        <v>0.111</v>
      </c>
      <c r="H61" s="42">
        <v>6.57</v>
      </c>
      <c r="I61" s="42">
        <v>6.24</v>
      </c>
      <c r="J61" s="42">
        <v>5.57</v>
      </c>
      <c r="K61" s="64">
        <v>6.87</v>
      </c>
      <c r="L61" s="64">
        <v>0.13300000000000001</v>
      </c>
      <c r="M61" s="42">
        <v>6.57</v>
      </c>
      <c r="N61" s="42">
        <v>6.25</v>
      </c>
      <c r="O61" s="42">
        <v>5.58</v>
      </c>
    </row>
    <row r="62" spans="2:15">
      <c r="B62" s="39" t="s">
        <v>96</v>
      </c>
      <c r="C62" s="41">
        <v>22</v>
      </c>
      <c r="D62" s="41">
        <f>ROUNDDOWN(49*SQRT((75-$D$7)/30)*0.43,0)</f>
        <v>27</v>
      </c>
      <c r="E62" s="41"/>
      <c r="F62" s="64">
        <v>4.05</v>
      </c>
      <c r="G62" s="64">
        <v>0.106</v>
      </c>
      <c r="H62" s="42">
        <v>3.89</v>
      </c>
      <c r="I62" s="42">
        <v>3.7</v>
      </c>
      <c r="J62" s="42">
        <v>3.31</v>
      </c>
      <c r="K62" s="64">
        <v>4.05</v>
      </c>
      <c r="L62" s="64">
        <v>0.127</v>
      </c>
      <c r="M62" s="42">
        <v>3.89</v>
      </c>
      <c r="N62" s="42">
        <v>3.71</v>
      </c>
      <c r="O62" s="42">
        <v>3.32</v>
      </c>
    </row>
    <row r="63" spans="2:15">
      <c r="B63" s="39" t="s">
        <v>97</v>
      </c>
      <c r="C63" s="41">
        <v>28</v>
      </c>
      <c r="D63" s="41">
        <f>ROUNDDOWN(61*SQRT((75-$D$7)/30)*0.43,0)</f>
        <v>33</v>
      </c>
      <c r="E63" s="41"/>
      <c r="F63" s="64">
        <v>2.81</v>
      </c>
      <c r="G63" s="64">
        <v>0.10199999999999999</v>
      </c>
      <c r="H63" s="42">
        <v>2.71</v>
      </c>
      <c r="I63" s="42">
        <v>2.58</v>
      </c>
      <c r="J63" s="42">
        <v>2.31</v>
      </c>
      <c r="K63" s="64">
        <v>2.81</v>
      </c>
      <c r="L63" s="64">
        <v>0.122</v>
      </c>
      <c r="M63" s="42">
        <v>2.71</v>
      </c>
      <c r="N63" s="42">
        <v>2.59</v>
      </c>
      <c r="O63" s="42">
        <v>2.33</v>
      </c>
    </row>
    <row r="64" spans="2:15">
      <c r="B64" s="39" t="s">
        <v>98</v>
      </c>
      <c r="C64" s="41">
        <v>40</v>
      </c>
      <c r="D64" s="41">
        <f>ROUNDDOWN(88*SQRT((75-$D$7)/30)*0.43,0)</f>
        <v>48</v>
      </c>
      <c r="E64" s="41"/>
      <c r="F64" s="64">
        <v>1.58</v>
      </c>
      <c r="G64" s="64">
        <v>9.5699999999999993E-2</v>
      </c>
      <c r="H64" s="42">
        <v>1.54</v>
      </c>
      <c r="I64" s="42">
        <v>1.47</v>
      </c>
      <c r="J64" s="42">
        <v>1.33</v>
      </c>
      <c r="K64" s="64">
        <v>1.58</v>
      </c>
      <c r="L64" s="64">
        <v>0.115</v>
      </c>
      <c r="M64" s="42">
        <v>1.54</v>
      </c>
      <c r="N64" s="42">
        <v>1.48</v>
      </c>
      <c r="O64" s="42">
        <v>1.34</v>
      </c>
    </row>
    <row r="65" spans="2:15">
      <c r="B65" s="39" t="s">
        <v>99</v>
      </c>
      <c r="C65" s="41">
        <v>53</v>
      </c>
      <c r="D65" s="41">
        <f>ROUNDDOWN(115*SQRT((75-$D$7)/30)*0.43,0)</f>
        <v>63</v>
      </c>
      <c r="E65" s="41"/>
      <c r="F65" s="64">
        <v>1</v>
      </c>
      <c r="G65" s="64">
        <v>9.4899999999999998E-2</v>
      </c>
      <c r="H65" s="42">
        <v>0.98</v>
      </c>
      <c r="I65" s="42">
        <v>0.94199999999999995</v>
      </c>
      <c r="J65" s="42">
        <v>0.85699999999999998</v>
      </c>
      <c r="K65" s="64">
        <v>1</v>
      </c>
      <c r="L65" s="64">
        <v>0.114</v>
      </c>
      <c r="M65" s="42">
        <v>0.98599999999999999</v>
      </c>
      <c r="N65" s="42">
        <v>0.95</v>
      </c>
      <c r="O65" s="42">
        <v>0.86899999999999999</v>
      </c>
    </row>
    <row r="66" spans="2:15">
      <c r="B66" s="39" t="s">
        <v>100</v>
      </c>
      <c r="C66" s="41">
        <v>75</v>
      </c>
      <c r="D66" s="41">
        <f>ROUNDDOWN(162*SQRT((75-$D$7)/30)*0.43,0)</f>
        <v>89</v>
      </c>
      <c r="E66" s="41"/>
      <c r="F66" s="64">
        <v>0.59299999999999997</v>
      </c>
      <c r="G66" s="64">
        <v>9.06E-2</v>
      </c>
      <c r="H66" s="42">
        <v>0.59199999999999997</v>
      </c>
      <c r="I66" s="42">
        <v>0.57399999999999995</v>
      </c>
      <c r="J66" s="42">
        <v>0.52900000000000003</v>
      </c>
      <c r="K66" s="64">
        <v>0.59299999999999997</v>
      </c>
      <c r="L66" s="64">
        <v>0.109</v>
      </c>
      <c r="M66" s="42">
        <v>0.59799999999999998</v>
      </c>
      <c r="N66" s="42">
        <v>0.58199999999999996</v>
      </c>
      <c r="O66" s="42">
        <v>0.54</v>
      </c>
    </row>
    <row r="67" spans="2:15">
      <c r="B67" s="39" t="s">
        <v>101</v>
      </c>
      <c r="C67" s="41">
        <v>100</v>
      </c>
      <c r="D67" s="41">
        <f>ROUNDDOWN(217*SQRT((75-$D$7)/30)*0.43,0)</f>
        <v>120</v>
      </c>
      <c r="E67" s="41"/>
      <c r="F67" s="64">
        <v>0.36899999999999999</v>
      </c>
      <c r="G67" s="64">
        <v>9.0300000000000005E-2</v>
      </c>
      <c r="H67" s="42">
        <v>0.379</v>
      </c>
      <c r="I67" s="42">
        <v>0.372</v>
      </c>
      <c r="J67" s="42">
        <v>0.35</v>
      </c>
      <c r="K67" s="64">
        <v>0.36899999999999999</v>
      </c>
      <c r="L67" s="64">
        <v>0.108</v>
      </c>
      <c r="M67" s="42">
        <v>0.38500000000000001</v>
      </c>
      <c r="N67" s="42">
        <v>0.38</v>
      </c>
      <c r="O67" s="42">
        <v>0.36</v>
      </c>
    </row>
    <row r="68" spans="2:15">
      <c r="B68" s="39" t="s">
        <v>102</v>
      </c>
      <c r="C68" s="41">
        <v>138</v>
      </c>
      <c r="D68" s="41">
        <f>ROUNDDOWN(298*SQRT((75-$D$7)/30)*0.43,0)</f>
        <v>165</v>
      </c>
      <c r="E68" s="41"/>
      <c r="F68" s="64">
        <v>0.22</v>
      </c>
      <c r="G68" s="64">
        <v>9.06E-2</v>
      </c>
      <c r="H68" s="42">
        <v>0.23799999999999999</v>
      </c>
      <c r="I68" s="42">
        <v>0.23799999999999999</v>
      </c>
      <c r="J68" s="42">
        <v>0.23100000000000001</v>
      </c>
      <c r="K68" s="64">
        <v>0.22</v>
      </c>
      <c r="L68" s="64">
        <v>0.109</v>
      </c>
      <c r="M68" s="42">
        <v>0.24399999999999999</v>
      </c>
      <c r="N68" s="42">
        <v>0.246</v>
      </c>
      <c r="O68" s="42">
        <v>0.24199999999999999</v>
      </c>
    </row>
    <row r="69" spans="2:15">
      <c r="B69" s="39" t="s">
        <v>103</v>
      </c>
      <c r="C69" s="41">
        <v>183</v>
      </c>
      <c r="D69" s="41">
        <f>ROUNDDOWN(395*SQRT((75-$D$7)/30)*0.43,0)</f>
        <v>219</v>
      </c>
      <c r="E69" s="41"/>
      <c r="F69" s="64">
        <v>0.14499999999999999</v>
      </c>
      <c r="G69" s="64">
        <v>8.77E-2</v>
      </c>
      <c r="H69" s="42">
        <v>0.16600000000000001</v>
      </c>
      <c r="I69" s="42">
        <v>0.16900000000000001</v>
      </c>
      <c r="J69" s="42">
        <v>0.16900000000000001</v>
      </c>
      <c r="K69" s="64">
        <v>0.14599999999999999</v>
      </c>
      <c r="L69" s="64">
        <v>0.105</v>
      </c>
      <c r="M69" s="42">
        <v>0.17199999999999999</v>
      </c>
      <c r="N69" s="42">
        <v>0.17799999999999999</v>
      </c>
      <c r="O69" s="42">
        <v>0.18</v>
      </c>
    </row>
    <row r="70" spans="2:15">
      <c r="B70" s="39" t="s">
        <v>104</v>
      </c>
      <c r="C70" s="41">
        <v>217</v>
      </c>
      <c r="D70" s="41">
        <f>ROUNDDOWN(469*SQRT((75-$D$7)/30)*0.43,0)</f>
        <v>260</v>
      </c>
      <c r="E70" s="41"/>
      <c r="F70" s="64">
        <v>0.114</v>
      </c>
      <c r="G70" s="64">
        <v>8.8999999999999996E-2</v>
      </c>
      <c r="H70" s="42">
        <v>0.13700000000000001</v>
      </c>
      <c r="I70" s="42">
        <v>0.14199999999999999</v>
      </c>
      <c r="J70" s="42">
        <v>0.14499999999999999</v>
      </c>
      <c r="K70" s="64">
        <v>0.115</v>
      </c>
      <c r="L70" s="64">
        <v>0.107</v>
      </c>
      <c r="M70" s="42">
        <v>0.14299999999999999</v>
      </c>
      <c r="N70" s="42">
        <v>0.151</v>
      </c>
      <c r="O70" s="42">
        <v>0.157</v>
      </c>
    </row>
    <row r="71" spans="2:15">
      <c r="B71" s="39" t="s">
        <v>105</v>
      </c>
      <c r="C71" s="41">
        <v>258</v>
      </c>
      <c r="D71" s="41">
        <f>ROUNDDOWN(556*SQRT((75-$D$7)/30)*0.43,0)</f>
        <v>308</v>
      </c>
      <c r="E71" s="41"/>
      <c r="F71" s="64">
        <v>9.0499999999999997E-2</v>
      </c>
      <c r="G71" s="64">
        <v>8.7400000000000005E-2</v>
      </c>
      <c r="H71" s="42">
        <v>0.114</v>
      </c>
      <c r="I71" s="42">
        <v>0.12</v>
      </c>
      <c r="J71" s="42">
        <v>0.125</v>
      </c>
      <c r="K71" s="64">
        <v>9.1600000000000001E-2</v>
      </c>
      <c r="L71" s="64">
        <v>0.105</v>
      </c>
      <c r="M71" s="42">
        <v>0.12</v>
      </c>
      <c r="N71" s="42">
        <v>0.129</v>
      </c>
      <c r="O71" s="42">
        <v>0.13700000000000001</v>
      </c>
    </row>
    <row r="72" spans="2:15" ht="14.25" thickBot="1">
      <c r="B72" s="39" t="s">
        <v>106</v>
      </c>
      <c r="C72" s="41">
        <v>301</v>
      </c>
      <c r="D72" s="41">
        <f>ROUNDDOWN(650*SQRT((75-$D$7)/30)*0.43,0)</f>
        <v>360</v>
      </c>
      <c r="E72" s="41"/>
      <c r="F72" s="64">
        <v>7.22E-2</v>
      </c>
      <c r="G72" s="64">
        <v>8.5900000000000004E-2</v>
      </c>
      <c r="H72" s="42">
        <v>9.6000000000000002E-2</v>
      </c>
      <c r="I72" s="42">
        <v>0.10299999999999999</v>
      </c>
      <c r="J72" s="42">
        <v>0.11</v>
      </c>
      <c r="K72" s="64">
        <v>7.3599999999999999E-2</v>
      </c>
      <c r="L72" s="64">
        <v>0.10299999999999999</v>
      </c>
      <c r="M72" s="42">
        <v>0.10299999999999999</v>
      </c>
      <c r="N72" s="42">
        <v>0.112</v>
      </c>
      <c r="O72" s="42">
        <v>0.121</v>
      </c>
    </row>
    <row r="73" spans="2:15">
      <c r="B73" s="39" t="s">
        <v>112</v>
      </c>
      <c r="C73" s="41">
        <v>19</v>
      </c>
      <c r="D73" s="73">
        <f t="shared" ref="D73:D130" si="0">ROUNDDOWN(C73*1.14,0)</f>
        <v>21</v>
      </c>
      <c r="E73" s="41">
        <v>24</v>
      </c>
      <c r="F73" s="64">
        <v>10.8</v>
      </c>
      <c r="G73" s="64">
        <v>0.10299999999999999</v>
      </c>
      <c r="H73" s="42">
        <v>10.3</v>
      </c>
      <c r="I73" s="51">
        <f t="shared" ref="I73:J76" si="1">ROUNDDOWN(($F73*I$7)+($G73*(SQRT(1-(I$7^2)))),3)</f>
        <v>9.7639999999999993</v>
      </c>
      <c r="J73" s="51">
        <f t="shared" si="1"/>
        <v>8.7010000000000005</v>
      </c>
      <c r="K73" s="64">
        <v>10.8</v>
      </c>
      <c r="L73" s="64">
        <v>0.123</v>
      </c>
      <c r="M73" s="42">
        <v>10.3</v>
      </c>
      <c r="N73" s="51">
        <f t="shared" ref="N73:O76" si="2">ROUNDDOWN(($K73*N$7)+($L73*(SQRT(1-(N$7^2)))),3)</f>
        <v>9.7729999999999997</v>
      </c>
      <c r="O73" s="51">
        <f t="shared" si="2"/>
        <v>8.7129999999999992</v>
      </c>
    </row>
    <row r="74" spans="2:15">
      <c r="B74" s="39" t="s">
        <v>114</v>
      </c>
      <c r="C74" s="52">
        <v>25</v>
      </c>
      <c r="D74" s="74">
        <f t="shared" si="0"/>
        <v>28</v>
      </c>
      <c r="E74" s="71">
        <v>31</v>
      </c>
      <c r="F74" s="64">
        <v>6.87</v>
      </c>
      <c r="G74" s="64">
        <v>9.6199999999999994E-2</v>
      </c>
      <c r="H74" s="42">
        <v>6.56</v>
      </c>
      <c r="I74" s="51">
        <f t="shared" si="1"/>
        <v>6.2240000000000002</v>
      </c>
      <c r="J74" s="51">
        <f t="shared" si="1"/>
        <v>5.5529999999999999</v>
      </c>
      <c r="K74" s="64">
        <v>6.87</v>
      </c>
      <c r="L74" s="64">
        <v>0.115</v>
      </c>
      <c r="M74" s="42">
        <v>6.57</v>
      </c>
      <c r="N74" s="51">
        <f t="shared" si="2"/>
        <v>6.2329999999999997</v>
      </c>
      <c r="O74" s="51">
        <f t="shared" si="2"/>
        <v>5.5650000000000004</v>
      </c>
    </row>
    <row r="75" spans="2:15">
      <c r="B75" s="39" t="s">
        <v>113</v>
      </c>
      <c r="C75" s="52">
        <v>16</v>
      </c>
      <c r="D75" s="74">
        <f t="shared" si="0"/>
        <v>18</v>
      </c>
      <c r="E75" s="71">
        <v>20</v>
      </c>
      <c r="F75" s="64">
        <v>10.8</v>
      </c>
      <c r="G75" s="64">
        <v>0.11700000000000001</v>
      </c>
      <c r="H75" s="42">
        <v>10.3</v>
      </c>
      <c r="I75" s="51">
        <f t="shared" si="1"/>
        <v>9.77</v>
      </c>
      <c r="J75" s="51">
        <f t="shared" si="1"/>
        <v>8.7100000000000009</v>
      </c>
      <c r="K75" s="64">
        <v>10.8</v>
      </c>
      <c r="L75" s="64">
        <v>0.14099999999999999</v>
      </c>
      <c r="M75" s="42">
        <v>10.4</v>
      </c>
      <c r="N75" s="51">
        <f t="shared" si="2"/>
        <v>9.7810000000000006</v>
      </c>
      <c r="O75" s="51">
        <f t="shared" si="2"/>
        <v>8.7240000000000002</v>
      </c>
    </row>
    <row r="76" spans="2:15" ht="14.25" thickBot="1">
      <c r="B76" s="39" t="s">
        <v>115</v>
      </c>
      <c r="C76" s="52">
        <v>21</v>
      </c>
      <c r="D76" s="75">
        <f t="shared" si="0"/>
        <v>23</v>
      </c>
      <c r="E76" s="71">
        <v>26</v>
      </c>
      <c r="F76" s="64">
        <v>6.87</v>
      </c>
      <c r="G76" s="64">
        <v>0.111</v>
      </c>
      <c r="H76" s="42">
        <v>6.57</v>
      </c>
      <c r="I76" s="51">
        <f t="shared" si="1"/>
        <v>6.2309999999999999</v>
      </c>
      <c r="J76" s="51">
        <f t="shared" si="1"/>
        <v>5.5620000000000003</v>
      </c>
      <c r="K76" s="64">
        <v>6.87</v>
      </c>
      <c r="L76" s="64">
        <v>0.13300000000000001</v>
      </c>
      <c r="M76" s="42">
        <v>6.57</v>
      </c>
      <c r="N76" s="51">
        <f t="shared" si="2"/>
        <v>6.24</v>
      </c>
      <c r="O76" s="51">
        <f t="shared" si="2"/>
        <v>5.5750000000000002</v>
      </c>
    </row>
    <row r="77" spans="2:15">
      <c r="B77" s="39" t="s">
        <v>116</v>
      </c>
      <c r="C77" s="52">
        <v>23</v>
      </c>
      <c r="D77" s="73">
        <f t="shared" si="0"/>
        <v>26</v>
      </c>
      <c r="E77" s="71">
        <v>28</v>
      </c>
      <c r="F77" s="64">
        <v>12</v>
      </c>
      <c r="G77" s="64">
        <v>9.9199999999999997E-2</v>
      </c>
      <c r="H77" s="42">
        <v>11.4</v>
      </c>
      <c r="I77" s="42">
        <v>10.8</v>
      </c>
      <c r="J77" s="42">
        <v>9.66</v>
      </c>
      <c r="K77" s="64">
        <v>12</v>
      </c>
      <c r="L77" s="64">
        <v>0.11899999999999999</v>
      </c>
      <c r="M77" s="42">
        <v>11.4</v>
      </c>
      <c r="N77" s="42">
        <v>10.9</v>
      </c>
      <c r="O77" s="42">
        <v>9.67</v>
      </c>
    </row>
    <row r="78" spans="2:15">
      <c r="B78" s="39" t="s">
        <v>117</v>
      </c>
      <c r="C78" s="52">
        <v>31</v>
      </c>
      <c r="D78" s="74">
        <f t="shared" si="0"/>
        <v>35</v>
      </c>
      <c r="E78" s="71">
        <v>39</v>
      </c>
      <c r="F78" s="64">
        <v>6.76</v>
      </c>
      <c r="G78" s="64">
        <v>9.1399999999999995E-2</v>
      </c>
      <c r="H78" s="42">
        <v>6.45</v>
      </c>
      <c r="I78" s="42">
        <v>6.12</v>
      </c>
      <c r="J78" s="42">
        <v>5.46</v>
      </c>
      <c r="K78" s="64">
        <v>6.76</v>
      </c>
      <c r="L78" s="64">
        <v>0.11</v>
      </c>
      <c r="M78" s="42">
        <v>6.46</v>
      </c>
      <c r="N78" s="42">
        <v>6.13</v>
      </c>
      <c r="O78" s="42">
        <v>5.47</v>
      </c>
    </row>
    <row r="79" spans="2:15">
      <c r="B79" s="39" t="s">
        <v>118</v>
      </c>
      <c r="C79" s="52">
        <v>41</v>
      </c>
      <c r="D79" s="74">
        <f t="shared" si="0"/>
        <v>46</v>
      </c>
      <c r="E79" s="71">
        <v>52</v>
      </c>
      <c r="F79" s="64">
        <v>4.34</v>
      </c>
      <c r="G79" s="64">
        <v>9.1399999999999995E-2</v>
      </c>
      <c r="H79" s="42">
        <v>4.1500000000000004</v>
      </c>
      <c r="I79" s="42">
        <v>3.95</v>
      </c>
      <c r="J79" s="42">
        <v>3.53</v>
      </c>
      <c r="K79" s="64">
        <v>4.34</v>
      </c>
      <c r="L79" s="64">
        <v>0.11</v>
      </c>
      <c r="M79" s="42">
        <v>4.16</v>
      </c>
      <c r="N79" s="42">
        <v>3.95</v>
      </c>
      <c r="O79" s="42">
        <v>3.54</v>
      </c>
    </row>
    <row r="80" spans="2:15">
      <c r="B80" s="39" t="s">
        <v>119</v>
      </c>
      <c r="C80" s="52">
        <v>51</v>
      </c>
      <c r="D80" s="74">
        <f t="shared" si="0"/>
        <v>58</v>
      </c>
      <c r="E80" s="71">
        <v>65</v>
      </c>
      <c r="F80" s="64">
        <v>2.98</v>
      </c>
      <c r="G80" s="64">
        <v>8.6999999999999994E-2</v>
      </c>
      <c r="H80" s="42">
        <v>2.86</v>
      </c>
      <c r="I80" s="42">
        <v>2.72</v>
      </c>
      <c r="J80" s="42">
        <v>2.44</v>
      </c>
      <c r="K80" s="64">
        <v>2.98</v>
      </c>
      <c r="L80" s="64">
        <v>0.104</v>
      </c>
      <c r="M80" s="42">
        <v>2.86</v>
      </c>
      <c r="N80" s="42">
        <v>2.73</v>
      </c>
      <c r="O80" s="42">
        <v>2.4500000000000002</v>
      </c>
    </row>
    <row r="81" spans="2:15">
      <c r="B81" s="39" t="s">
        <v>120</v>
      </c>
      <c r="C81" s="52">
        <v>70</v>
      </c>
      <c r="D81" s="74">
        <f t="shared" si="0"/>
        <v>79</v>
      </c>
      <c r="E81" s="71">
        <v>91</v>
      </c>
      <c r="F81" s="64">
        <v>1.71</v>
      </c>
      <c r="G81" s="64">
        <v>8.2799999999999999E-2</v>
      </c>
      <c r="H81" s="42">
        <v>1.65</v>
      </c>
      <c r="I81" s="42">
        <v>1.58</v>
      </c>
      <c r="J81" s="42">
        <v>1.42</v>
      </c>
      <c r="K81" s="64">
        <v>1.71</v>
      </c>
      <c r="L81" s="64">
        <v>9.9400000000000002E-2</v>
      </c>
      <c r="M81" s="42">
        <v>1.66</v>
      </c>
      <c r="N81" s="42">
        <v>1.58</v>
      </c>
      <c r="O81" s="42">
        <v>1.43</v>
      </c>
    </row>
    <row r="82" spans="2:15">
      <c r="B82" s="39" t="s">
        <v>121</v>
      </c>
      <c r="C82" s="52">
        <v>93</v>
      </c>
      <c r="D82" s="74">
        <f t="shared" si="0"/>
        <v>106</v>
      </c>
      <c r="E82" s="71">
        <v>120</v>
      </c>
      <c r="F82" s="64">
        <v>1.08</v>
      </c>
      <c r="G82" s="64">
        <v>8.2000000000000003E-2</v>
      </c>
      <c r="H82" s="42">
        <v>1.05</v>
      </c>
      <c r="I82" s="42">
        <v>1.01</v>
      </c>
      <c r="J82" s="42">
        <v>0.91300000000000003</v>
      </c>
      <c r="K82" s="64">
        <v>1.08</v>
      </c>
      <c r="L82" s="64">
        <v>9.8400000000000001E-2</v>
      </c>
      <c r="M82" s="42">
        <v>1.06</v>
      </c>
      <c r="N82" s="42">
        <v>1.01</v>
      </c>
      <c r="O82" s="42">
        <v>0.92300000000000004</v>
      </c>
    </row>
    <row r="83" spans="2:15">
      <c r="B83" s="39" t="s">
        <v>122</v>
      </c>
      <c r="C83" s="52">
        <v>135</v>
      </c>
      <c r="D83" s="74">
        <f t="shared" si="0"/>
        <v>153</v>
      </c>
      <c r="E83" s="71">
        <v>170</v>
      </c>
      <c r="F83" s="64">
        <v>0.626</v>
      </c>
      <c r="G83" s="64">
        <v>7.7100000000000002E-2</v>
      </c>
      <c r="H83" s="42">
        <v>0.61899999999999999</v>
      </c>
      <c r="I83" s="42">
        <v>0.59699999999999998</v>
      </c>
      <c r="J83" s="42">
        <v>0.54700000000000004</v>
      </c>
      <c r="K83" s="64">
        <v>0.627</v>
      </c>
      <c r="L83" s="64">
        <v>9.2499999999999999E-2</v>
      </c>
      <c r="M83" s="42">
        <v>0.625</v>
      </c>
      <c r="N83" s="42">
        <v>0.60499999999999998</v>
      </c>
      <c r="O83" s="42">
        <v>0.55700000000000005</v>
      </c>
    </row>
    <row r="84" spans="2:15">
      <c r="B84" s="39" t="s">
        <v>123</v>
      </c>
      <c r="C84" s="52">
        <v>175</v>
      </c>
      <c r="D84" s="74">
        <f t="shared" si="0"/>
        <v>199</v>
      </c>
      <c r="E84" s="71">
        <v>225</v>
      </c>
      <c r="F84" s="64">
        <v>0.39700000000000002</v>
      </c>
      <c r="G84" s="64">
        <v>7.6799999999999993E-2</v>
      </c>
      <c r="H84" s="42">
        <v>0.40100000000000002</v>
      </c>
      <c r="I84" s="42">
        <v>0.39100000000000001</v>
      </c>
      <c r="J84" s="42">
        <v>0.36399999999999999</v>
      </c>
      <c r="K84" s="64">
        <v>0.39700000000000002</v>
      </c>
      <c r="L84" s="64">
        <v>9.2200000000000004E-2</v>
      </c>
      <c r="M84" s="42">
        <v>0.40600000000000003</v>
      </c>
      <c r="N84" s="42">
        <v>0.39700000000000002</v>
      </c>
      <c r="O84" s="42">
        <v>0.373</v>
      </c>
    </row>
    <row r="85" spans="2:15">
      <c r="B85" s="39" t="s">
        <v>124</v>
      </c>
      <c r="C85" s="52">
        <v>245</v>
      </c>
      <c r="D85" s="74">
        <f t="shared" si="0"/>
        <v>279</v>
      </c>
      <c r="E85" s="71">
        <v>310</v>
      </c>
      <c r="F85" s="64">
        <v>0.23899999999999999</v>
      </c>
      <c r="G85" s="64">
        <v>7.7299999999999994E-2</v>
      </c>
      <c r="H85" s="42">
        <v>0.251</v>
      </c>
      <c r="I85" s="42">
        <v>0.249</v>
      </c>
      <c r="J85" s="42">
        <v>0.23799999999999999</v>
      </c>
      <c r="K85" s="64">
        <v>0.24</v>
      </c>
      <c r="L85" s="64">
        <v>9.2799999999999994E-2</v>
      </c>
      <c r="M85" s="42">
        <v>0.25700000000000001</v>
      </c>
      <c r="N85" s="42">
        <v>0.25600000000000001</v>
      </c>
      <c r="O85" s="42">
        <v>0.248</v>
      </c>
    </row>
    <row r="86" spans="2:15">
      <c r="B86" s="39" t="s">
        <v>125</v>
      </c>
      <c r="C86" s="52">
        <v>320</v>
      </c>
      <c r="D86" s="74">
        <f t="shared" si="0"/>
        <v>364</v>
      </c>
      <c r="E86" s="71">
        <v>400</v>
      </c>
      <c r="F86" s="64">
        <v>0.16</v>
      </c>
      <c r="G86" s="64">
        <v>7.4399999999999994E-2</v>
      </c>
      <c r="H86" s="42">
        <v>0.17499999999999999</v>
      </c>
      <c r="I86" s="42">
        <v>0.17599999999999999</v>
      </c>
      <c r="J86" s="42">
        <v>0.17299999999999999</v>
      </c>
      <c r="K86" s="64">
        <v>0.16</v>
      </c>
      <c r="L86" s="64">
        <v>8.9300000000000004E-2</v>
      </c>
      <c r="M86" s="42">
        <v>0.18</v>
      </c>
      <c r="N86" s="42">
        <v>0.183</v>
      </c>
      <c r="O86" s="42">
        <v>0.182</v>
      </c>
    </row>
    <row r="87" spans="2:15">
      <c r="B87" s="39" t="s">
        <v>126</v>
      </c>
      <c r="C87" s="52">
        <v>390</v>
      </c>
      <c r="D87" s="74">
        <f t="shared" si="0"/>
        <v>444</v>
      </c>
      <c r="E87" s="71">
        <v>485</v>
      </c>
      <c r="F87" s="64">
        <v>0.121</v>
      </c>
      <c r="G87" s="64">
        <v>7.5499999999999998E-2</v>
      </c>
      <c r="H87" s="42">
        <v>0.13900000000000001</v>
      </c>
      <c r="I87" s="42">
        <v>0.14199999999999999</v>
      </c>
      <c r="J87" s="42">
        <v>0.14199999999999999</v>
      </c>
      <c r="K87" s="64">
        <v>0.122</v>
      </c>
      <c r="L87" s="64">
        <v>9.06E-2</v>
      </c>
      <c r="M87" s="42">
        <v>0.14399999999999999</v>
      </c>
      <c r="N87" s="42">
        <v>0.14899999999999999</v>
      </c>
      <c r="O87" s="42">
        <v>0.152</v>
      </c>
    </row>
    <row r="88" spans="2:15">
      <c r="B88" s="39" t="s">
        <v>127</v>
      </c>
      <c r="C88" s="52">
        <v>455</v>
      </c>
      <c r="D88" s="74">
        <f t="shared" si="0"/>
        <v>518</v>
      </c>
      <c r="E88" s="71">
        <v>560</v>
      </c>
      <c r="F88" s="64">
        <v>9.8500000000000004E-2</v>
      </c>
      <c r="G88" s="64">
        <v>7.3899999999999993E-2</v>
      </c>
      <c r="H88" s="42">
        <v>0.11700000000000001</v>
      </c>
      <c r="I88" s="42">
        <v>0.121</v>
      </c>
      <c r="J88" s="42">
        <v>0.123</v>
      </c>
      <c r="K88" s="64">
        <v>9.9500000000000005E-2</v>
      </c>
      <c r="L88" s="64">
        <v>8.8700000000000001E-2</v>
      </c>
      <c r="M88" s="42">
        <v>0.123</v>
      </c>
      <c r="N88" s="42">
        <v>0.128</v>
      </c>
      <c r="O88" s="42">
        <v>0.13300000000000001</v>
      </c>
    </row>
    <row r="89" spans="2:15">
      <c r="B89" s="39" t="s">
        <v>128</v>
      </c>
      <c r="C89" s="52">
        <v>540</v>
      </c>
      <c r="D89" s="74">
        <f t="shared" si="0"/>
        <v>615</v>
      </c>
      <c r="E89" s="71">
        <v>660</v>
      </c>
      <c r="F89" s="64">
        <v>7.6999999999999999E-2</v>
      </c>
      <c r="G89" s="64">
        <v>7.2300000000000003E-2</v>
      </c>
      <c r="H89" s="42">
        <v>9.6000000000000002E-2</v>
      </c>
      <c r="I89" s="42">
        <v>0.10100000000000001</v>
      </c>
      <c r="J89" s="42">
        <v>0.105</v>
      </c>
      <c r="K89" s="64">
        <v>7.8299999999999995E-2</v>
      </c>
      <c r="L89" s="64">
        <v>8.6699999999999999E-2</v>
      </c>
      <c r="M89" s="42">
        <v>0.10199999999999999</v>
      </c>
      <c r="N89" s="42">
        <v>0.108</v>
      </c>
      <c r="O89" s="42">
        <v>0.115</v>
      </c>
    </row>
    <row r="90" spans="2:15">
      <c r="B90" s="39" t="s">
        <v>129</v>
      </c>
      <c r="C90" s="52">
        <v>19</v>
      </c>
      <c r="D90" s="74">
        <f t="shared" si="0"/>
        <v>21</v>
      </c>
      <c r="E90" s="71">
        <v>23</v>
      </c>
      <c r="F90" s="64">
        <v>12</v>
      </c>
      <c r="G90" s="64">
        <v>9.9199999999999997E-2</v>
      </c>
      <c r="H90" s="42">
        <v>11.4</v>
      </c>
      <c r="I90" s="42">
        <v>10.8</v>
      </c>
      <c r="J90" s="42">
        <v>9.66</v>
      </c>
      <c r="K90" s="64">
        <v>12</v>
      </c>
      <c r="L90" s="64">
        <v>0.11899999999999999</v>
      </c>
      <c r="M90" s="42">
        <v>11.4</v>
      </c>
      <c r="N90" s="42">
        <v>10.9</v>
      </c>
      <c r="O90" s="42">
        <v>9.67</v>
      </c>
    </row>
    <row r="91" spans="2:15">
      <c r="B91" s="39" t="s">
        <v>130</v>
      </c>
      <c r="C91" s="52">
        <v>26</v>
      </c>
      <c r="D91" s="74">
        <f t="shared" si="0"/>
        <v>29</v>
      </c>
      <c r="E91" s="71">
        <v>33</v>
      </c>
      <c r="F91" s="64">
        <v>6.76</v>
      </c>
      <c r="G91" s="64">
        <v>9.1399999999999995E-2</v>
      </c>
      <c r="H91" s="42">
        <v>6.45</v>
      </c>
      <c r="I91" s="42">
        <v>6.12</v>
      </c>
      <c r="J91" s="42">
        <v>5.46</v>
      </c>
      <c r="K91" s="64">
        <v>6.76</v>
      </c>
      <c r="L91" s="64">
        <v>0.11</v>
      </c>
      <c r="M91" s="42">
        <v>6.46</v>
      </c>
      <c r="N91" s="42">
        <v>6.13</v>
      </c>
      <c r="O91" s="42">
        <v>5.47</v>
      </c>
    </row>
    <row r="92" spans="2:15">
      <c r="B92" s="39" t="s">
        <v>131</v>
      </c>
      <c r="C92" s="52">
        <v>35</v>
      </c>
      <c r="D92" s="74">
        <f t="shared" si="0"/>
        <v>39</v>
      </c>
      <c r="E92" s="71">
        <v>44</v>
      </c>
      <c r="F92" s="64">
        <v>4.34</v>
      </c>
      <c r="G92" s="64">
        <v>9.1399999999999995E-2</v>
      </c>
      <c r="H92" s="42">
        <v>4.1500000000000004</v>
      </c>
      <c r="I92" s="42">
        <v>3.95</v>
      </c>
      <c r="J92" s="42">
        <v>3.53</v>
      </c>
      <c r="K92" s="64">
        <v>4.34</v>
      </c>
      <c r="L92" s="64">
        <v>0.11</v>
      </c>
      <c r="M92" s="42">
        <v>4.16</v>
      </c>
      <c r="N92" s="42">
        <v>3.95</v>
      </c>
      <c r="O92" s="42">
        <v>3.54</v>
      </c>
    </row>
    <row r="93" spans="2:15">
      <c r="B93" s="39" t="s">
        <v>132</v>
      </c>
      <c r="C93" s="52">
        <v>43</v>
      </c>
      <c r="D93" s="74">
        <f t="shared" si="0"/>
        <v>49</v>
      </c>
      <c r="E93" s="71">
        <v>54</v>
      </c>
      <c r="F93" s="64">
        <v>2.98</v>
      </c>
      <c r="G93" s="64">
        <v>8.6999999999999994E-2</v>
      </c>
      <c r="H93" s="42">
        <v>2.86</v>
      </c>
      <c r="I93" s="42">
        <v>2.72</v>
      </c>
      <c r="J93" s="42">
        <v>2.44</v>
      </c>
      <c r="K93" s="64">
        <v>2.98</v>
      </c>
      <c r="L93" s="64">
        <v>0.104</v>
      </c>
      <c r="M93" s="42">
        <v>2.86</v>
      </c>
      <c r="N93" s="42">
        <v>2.73</v>
      </c>
      <c r="O93" s="42">
        <v>2.4500000000000002</v>
      </c>
    </row>
    <row r="94" spans="2:15">
      <c r="B94" s="39" t="s">
        <v>133</v>
      </c>
      <c r="C94" s="52">
        <v>59</v>
      </c>
      <c r="D94" s="74">
        <f t="shared" si="0"/>
        <v>67</v>
      </c>
      <c r="E94" s="71">
        <v>76</v>
      </c>
      <c r="F94" s="64">
        <v>1.71</v>
      </c>
      <c r="G94" s="64">
        <v>8.2799999999999999E-2</v>
      </c>
      <c r="H94" s="42">
        <v>1.65</v>
      </c>
      <c r="I94" s="42">
        <v>1.58</v>
      </c>
      <c r="J94" s="42">
        <v>1.42</v>
      </c>
      <c r="K94" s="64">
        <v>1.71</v>
      </c>
      <c r="L94" s="64">
        <v>9.9400000000000002E-2</v>
      </c>
      <c r="M94" s="42">
        <v>1.66</v>
      </c>
      <c r="N94" s="42">
        <v>1.58</v>
      </c>
      <c r="O94" s="42">
        <v>1.43</v>
      </c>
    </row>
    <row r="95" spans="2:15">
      <c r="B95" s="39" t="s">
        <v>134</v>
      </c>
      <c r="C95" s="52">
        <v>77</v>
      </c>
      <c r="D95" s="74">
        <f t="shared" si="0"/>
        <v>87</v>
      </c>
      <c r="E95" s="71">
        <v>100</v>
      </c>
      <c r="F95" s="64">
        <v>1.08</v>
      </c>
      <c r="G95" s="64">
        <v>8.2000000000000003E-2</v>
      </c>
      <c r="H95" s="42">
        <v>1.05</v>
      </c>
      <c r="I95" s="42">
        <v>1.01</v>
      </c>
      <c r="J95" s="42">
        <v>0.91300000000000003</v>
      </c>
      <c r="K95" s="64">
        <v>1.08</v>
      </c>
      <c r="L95" s="64">
        <v>9.8400000000000001E-2</v>
      </c>
      <c r="M95" s="42">
        <v>1.06</v>
      </c>
      <c r="N95" s="42">
        <v>1.01</v>
      </c>
      <c r="O95" s="42">
        <v>0.92300000000000004</v>
      </c>
    </row>
    <row r="96" spans="2:15">
      <c r="B96" s="39" t="s">
        <v>135</v>
      </c>
      <c r="C96" s="52">
        <v>110</v>
      </c>
      <c r="D96" s="74">
        <f t="shared" si="0"/>
        <v>125</v>
      </c>
      <c r="E96" s="71">
        <v>140</v>
      </c>
      <c r="F96" s="64">
        <v>0.626</v>
      </c>
      <c r="G96" s="64">
        <v>7.7100000000000002E-2</v>
      </c>
      <c r="H96" s="42">
        <v>0.61899999999999999</v>
      </c>
      <c r="I96" s="42">
        <v>0.59699999999999998</v>
      </c>
      <c r="J96" s="42">
        <v>0.54700000000000004</v>
      </c>
      <c r="K96" s="64">
        <v>0.627</v>
      </c>
      <c r="L96" s="64">
        <v>9.2499999999999999E-2</v>
      </c>
      <c r="M96" s="42">
        <v>0.625</v>
      </c>
      <c r="N96" s="42">
        <v>0.60499999999999998</v>
      </c>
      <c r="O96" s="42">
        <v>0.55700000000000005</v>
      </c>
    </row>
    <row r="97" spans="2:15">
      <c r="B97" s="39" t="s">
        <v>136</v>
      </c>
      <c r="C97" s="52">
        <v>150</v>
      </c>
      <c r="D97" s="74">
        <f t="shared" si="0"/>
        <v>171</v>
      </c>
      <c r="E97" s="71">
        <v>190</v>
      </c>
      <c r="F97" s="64">
        <v>0.39700000000000002</v>
      </c>
      <c r="G97" s="64">
        <v>7.6799999999999993E-2</v>
      </c>
      <c r="H97" s="42">
        <v>0.40100000000000002</v>
      </c>
      <c r="I97" s="42">
        <v>0.39100000000000001</v>
      </c>
      <c r="J97" s="42">
        <v>0.36399999999999999</v>
      </c>
      <c r="K97" s="64">
        <v>0.39700000000000002</v>
      </c>
      <c r="L97" s="64">
        <v>9.2200000000000004E-2</v>
      </c>
      <c r="M97" s="42">
        <v>0.40600000000000003</v>
      </c>
      <c r="N97" s="42">
        <v>0.39700000000000002</v>
      </c>
      <c r="O97" s="42">
        <v>0.373</v>
      </c>
    </row>
    <row r="98" spans="2:15">
      <c r="B98" s="39" t="s">
        <v>137</v>
      </c>
      <c r="C98" s="52">
        <v>210</v>
      </c>
      <c r="D98" s="74">
        <f t="shared" si="0"/>
        <v>239</v>
      </c>
      <c r="E98" s="71">
        <v>260</v>
      </c>
      <c r="F98" s="64">
        <v>0.23899999999999999</v>
      </c>
      <c r="G98" s="64">
        <v>7.7299999999999994E-2</v>
      </c>
      <c r="H98" s="42">
        <v>0.251</v>
      </c>
      <c r="I98" s="42">
        <v>0.249</v>
      </c>
      <c r="J98" s="42">
        <v>0.23799999999999999</v>
      </c>
      <c r="K98" s="64">
        <v>0.24</v>
      </c>
      <c r="L98" s="64">
        <v>9.2799999999999994E-2</v>
      </c>
      <c r="M98" s="42">
        <v>0.25700000000000001</v>
      </c>
      <c r="N98" s="42">
        <v>0.25600000000000001</v>
      </c>
      <c r="O98" s="42">
        <v>0.248</v>
      </c>
    </row>
    <row r="99" spans="2:15">
      <c r="B99" s="39" t="s">
        <v>138</v>
      </c>
      <c r="C99" s="52">
        <v>265</v>
      </c>
      <c r="D99" s="74">
        <f t="shared" si="0"/>
        <v>302</v>
      </c>
      <c r="E99" s="71">
        <v>340</v>
      </c>
      <c r="F99" s="64">
        <v>0.16</v>
      </c>
      <c r="G99" s="64">
        <v>7.4399999999999994E-2</v>
      </c>
      <c r="H99" s="42">
        <v>0.17499999999999999</v>
      </c>
      <c r="I99" s="42">
        <v>0.17599999999999999</v>
      </c>
      <c r="J99" s="42">
        <v>0.17299999999999999</v>
      </c>
      <c r="K99" s="64">
        <v>0.16</v>
      </c>
      <c r="L99" s="64">
        <v>8.9300000000000004E-2</v>
      </c>
      <c r="M99" s="42">
        <v>0.18</v>
      </c>
      <c r="N99" s="42">
        <v>0.183</v>
      </c>
      <c r="O99" s="42">
        <v>0.182</v>
      </c>
    </row>
    <row r="100" spans="2:15">
      <c r="B100" s="39" t="s">
        <v>139</v>
      </c>
      <c r="C100" s="52">
        <v>335</v>
      </c>
      <c r="D100" s="74">
        <f t="shared" si="0"/>
        <v>381</v>
      </c>
      <c r="E100" s="71">
        <v>410</v>
      </c>
      <c r="F100" s="64">
        <v>0.121</v>
      </c>
      <c r="G100" s="64">
        <v>7.5499999999999998E-2</v>
      </c>
      <c r="H100" s="42">
        <v>0.13900000000000001</v>
      </c>
      <c r="I100" s="42">
        <v>0.14199999999999999</v>
      </c>
      <c r="J100" s="42">
        <v>0.14199999999999999</v>
      </c>
      <c r="K100" s="64">
        <v>0.122</v>
      </c>
      <c r="L100" s="64">
        <v>9.06E-2</v>
      </c>
      <c r="M100" s="42">
        <v>0.14399999999999999</v>
      </c>
      <c r="N100" s="42">
        <v>0.14899999999999999</v>
      </c>
      <c r="O100" s="42">
        <v>0.152</v>
      </c>
    </row>
    <row r="101" spans="2:15">
      <c r="B101" s="39" t="s">
        <v>140</v>
      </c>
      <c r="C101" s="52">
        <v>380</v>
      </c>
      <c r="D101" s="74">
        <f t="shared" si="0"/>
        <v>433</v>
      </c>
      <c r="E101" s="71">
        <v>470</v>
      </c>
      <c r="F101" s="64">
        <v>9.8500000000000004E-2</v>
      </c>
      <c r="G101" s="64">
        <v>7.3899999999999993E-2</v>
      </c>
      <c r="H101" s="42">
        <v>0.11700000000000001</v>
      </c>
      <c r="I101" s="42">
        <v>0.121</v>
      </c>
      <c r="J101" s="42">
        <v>0.123</v>
      </c>
      <c r="K101" s="64">
        <v>9.9500000000000005E-2</v>
      </c>
      <c r="L101" s="64">
        <v>8.8700000000000001E-2</v>
      </c>
      <c r="M101" s="42">
        <v>0.123</v>
      </c>
      <c r="N101" s="42">
        <v>0.128</v>
      </c>
      <c r="O101" s="42">
        <v>0.13300000000000001</v>
      </c>
    </row>
    <row r="102" spans="2:15">
      <c r="B102" s="39" t="s">
        <v>141</v>
      </c>
      <c r="C102" s="52">
        <v>450</v>
      </c>
      <c r="D102" s="74">
        <f t="shared" si="0"/>
        <v>513</v>
      </c>
      <c r="E102" s="71">
        <v>555</v>
      </c>
      <c r="F102" s="64">
        <v>7.6999999999999999E-2</v>
      </c>
      <c r="G102" s="64">
        <v>7.2300000000000003E-2</v>
      </c>
      <c r="H102" s="42">
        <v>9.6000000000000002E-2</v>
      </c>
      <c r="I102" s="42">
        <v>0.10100000000000001</v>
      </c>
      <c r="J102" s="42">
        <v>0.105</v>
      </c>
      <c r="K102" s="64">
        <v>7.8299999999999995E-2</v>
      </c>
      <c r="L102" s="64">
        <v>8.6699999999999999E-2</v>
      </c>
      <c r="M102" s="42">
        <v>0.10199999999999999</v>
      </c>
      <c r="N102" s="42">
        <v>0.108</v>
      </c>
      <c r="O102" s="42">
        <v>0.115</v>
      </c>
    </row>
    <row r="103" spans="2:15">
      <c r="B103" s="39" t="str">
        <f>B90&amp;"*"</f>
        <v>EM-CE2-3C*</v>
      </c>
      <c r="C103" s="100">
        <f>C77</f>
        <v>23</v>
      </c>
      <c r="D103" s="74">
        <f t="shared" si="0"/>
        <v>26</v>
      </c>
      <c r="E103" s="101">
        <f>E77</f>
        <v>28</v>
      </c>
      <c r="F103" s="99">
        <f t="shared" ref="F103:O103" si="3">F90</f>
        <v>12</v>
      </c>
      <c r="G103" s="99">
        <f t="shared" si="3"/>
        <v>9.9199999999999997E-2</v>
      </c>
      <c r="H103" s="51">
        <f t="shared" si="3"/>
        <v>11.4</v>
      </c>
      <c r="I103" s="51">
        <f t="shared" si="3"/>
        <v>10.8</v>
      </c>
      <c r="J103" s="51">
        <f t="shared" si="3"/>
        <v>9.66</v>
      </c>
      <c r="K103" s="99">
        <f t="shared" si="3"/>
        <v>12</v>
      </c>
      <c r="L103" s="99">
        <f t="shared" si="3"/>
        <v>0.11899999999999999</v>
      </c>
      <c r="M103" s="51">
        <f t="shared" si="3"/>
        <v>11.4</v>
      </c>
      <c r="N103" s="51">
        <f t="shared" si="3"/>
        <v>10.9</v>
      </c>
      <c r="O103" s="51">
        <f t="shared" si="3"/>
        <v>9.67</v>
      </c>
    </row>
    <row r="104" spans="2:15">
      <c r="B104" s="39" t="str">
        <f t="shared" ref="B104:B115" si="4">B91&amp;"*"</f>
        <v>EM-CE3.5-3C*</v>
      </c>
      <c r="C104" s="100">
        <f t="shared" ref="C104:C115" si="5">C78</f>
        <v>31</v>
      </c>
      <c r="D104" s="74">
        <f t="shared" ref="D104:D116" si="6">ROUNDDOWN(C104*1.14,0)</f>
        <v>35</v>
      </c>
      <c r="E104" s="101">
        <f t="shared" ref="E104:E115" si="7">E78</f>
        <v>39</v>
      </c>
      <c r="F104" s="99">
        <f t="shared" ref="F104:O104" si="8">F91</f>
        <v>6.76</v>
      </c>
      <c r="G104" s="99">
        <f t="shared" si="8"/>
        <v>9.1399999999999995E-2</v>
      </c>
      <c r="H104" s="51">
        <f t="shared" si="8"/>
        <v>6.45</v>
      </c>
      <c r="I104" s="51">
        <f t="shared" si="8"/>
        <v>6.12</v>
      </c>
      <c r="J104" s="51">
        <f t="shared" si="8"/>
        <v>5.46</v>
      </c>
      <c r="K104" s="99">
        <f t="shared" si="8"/>
        <v>6.76</v>
      </c>
      <c r="L104" s="99">
        <f t="shared" si="8"/>
        <v>0.11</v>
      </c>
      <c r="M104" s="51">
        <f t="shared" si="8"/>
        <v>6.46</v>
      </c>
      <c r="N104" s="51">
        <f t="shared" si="8"/>
        <v>6.13</v>
      </c>
      <c r="O104" s="51">
        <f t="shared" si="8"/>
        <v>5.47</v>
      </c>
    </row>
    <row r="105" spans="2:15">
      <c r="B105" s="39" t="str">
        <f t="shared" si="4"/>
        <v>EM-CE5.5-3C*</v>
      </c>
      <c r="C105" s="100">
        <f t="shared" si="5"/>
        <v>41</v>
      </c>
      <c r="D105" s="74">
        <f t="shared" si="6"/>
        <v>46</v>
      </c>
      <c r="E105" s="101">
        <f t="shared" si="7"/>
        <v>52</v>
      </c>
      <c r="F105" s="99">
        <f t="shared" ref="F105:O105" si="9">F92</f>
        <v>4.34</v>
      </c>
      <c r="G105" s="99">
        <f t="shared" si="9"/>
        <v>9.1399999999999995E-2</v>
      </c>
      <c r="H105" s="51">
        <f t="shared" si="9"/>
        <v>4.1500000000000004</v>
      </c>
      <c r="I105" s="51">
        <f t="shared" si="9"/>
        <v>3.95</v>
      </c>
      <c r="J105" s="51">
        <f t="shared" si="9"/>
        <v>3.53</v>
      </c>
      <c r="K105" s="99">
        <f t="shared" si="9"/>
        <v>4.34</v>
      </c>
      <c r="L105" s="99">
        <f t="shared" si="9"/>
        <v>0.11</v>
      </c>
      <c r="M105" s="51">
        <f t="shared" si="9"/>
        <v>4.16</v>
      </c>
      <c r="N105" s="51">
        <f t="shared" si="9"/>
        <v>3.95</v>
      </c>
      <c r="O105" s="51">
        <f t="shared" si="9"/>
        <v>3.54</v>
      </c>
    </row>
    <row r="106" spans="2:15">
      <c r="B106" s="39" t="str">
        <f t="shared" si="4"/>
        <v>EM-CE8-3C*</v>
      </c>
      <c r="C106" s="100">
        <f t="shared" si="5"/>
        <v>51</v>
      </c>
      <c r="D106" s="74">
        <f t="shared" si="6"/>
        <v>58</v>
      </c>
      <c r="E106" s="101">
        <f t="shared" si="7"/>
        <v>65</v>
      </c>
      <c r="F106" s="99">
        <f t="shared" ref="F106:O106" si="10">F93</f>
        <v>2.98</v>
      </c>
      <c r="G106" s="99">
        <f t="shared" si="10"/>
        <v>8.6999999999999994E-2</v>
      </c>
      <c r="H106" s="51">
        <f t="shared" si="10"/>
        <v>2.86</v>
      </c>
      <c r="I106" s="51">
        <f t="shared" si="10"/>
        <v>2.72</v>
      </c>
      <c r="J106" s="51">
        <f t="shared" si="10"/>
        <v>2.44</v>
      </c>
      <c r="K106" s="99">
        <f t="shared" si="10"/>
        <v>2.98</v>
      </c>
      <c r="L106" s="99">
        <f t="shared" si="10"/>
        <v>0.104</v>
      </c>
      <c r="M106" s="51">
        <f t="shared" si="10"/>
        <v>2.86</v>
      </c>
      <c r="N106" s="51">
        <f t="shared" si="10"/>
        <v>2.73</v>
      </c>
      <c r="O106" s="51">
        <f t="shared" si="10"/>
        <v>2.4500000000000002</v>
      </c>
    </row>
    <row r="107" spans="2:15">
      <c r="B107" s="39" t="str">
        <f t="shared" si="4"/>
        <v>EM-CE14-3C*</v>
      </c>
      <c r="C107" s="100">
        <f t="shared" si="5"/>
        <v>70</v>
      </c>
      <c r="D107" s="74">
        <f t="shared" si="6"/>
        <v>79</v>
      </c>
      <c r="E107" s="101">
        <f t="shared" si="7"/>
        <v>91</v>
      </c>
      <c r="F107" s="99">
        <f t="shared" ref="F107:O107" si="11">F94</f>
        <v>1.71</v>
      </c>
      <c r="G107" s="99">
        <f t="shared" si="11"/>
        <v>8.2799999999999999E-2</v>
      </c>
      <c r="H107" s="51">
        <f t="shared" si="11"/>
        <v>1.65</v>
      </c>
      <c r="I107" s="51">
        <f t="shared" si="11"/>
        <v>1.58</v>
      </c>
      <c r="J107" s="51">
        <f t="shared" si="11"/>
        <v>1.42</v>
      </c>
      <c r="K107" s="99">
        <f t="shared" si="11"/>
        <v>1.71</v>
      </c>
      <c r="L107" s="99">
        <f t="shared" si="11"/>
        <v>9.9400000000000002E-2</v>
      </c>
      <c r="M107" s="51">
        <f t="shared" si="11"/>
        <v>1.66</v>
      </c>
      <c r="N107" s="51">
        <f t="shared" si="11"/>
        <v>1.58</v>
      </c>
      <c r="O107" s="51">
        <f t="shared" si="11"/>
        <v>1.43</v>
      </c>
    </row>
    <row r="108" spans="2:15">
      <c r="B108" s="39" t="str">
        <f t="shared" si="4"/>
        <v>EM-CE22-3C*</v>
      </c>
      <c r="C108" s="100">
        <f t="shared" si="5"/>
        <v>93</v>
      </c>
      <c r="D108" s="74">
        <f t="shared" si="6"/>
        <v>106</v>
      </c>
      <c r="E108" s="101">
        <f t="shared" si="7"/>
        <v>120</v>
      </c>
      <c r="F108" s="99">
        <f t="shared" ref="F108:O108" si="12">F95</f>
        <v>1.08</v>
      </c>
      <c r="G108" s="99">
        <f t="shared" si="12"/>
        <v>8.2000000000000003E-2</v>
      </c>
      <c r="H108" s="51">
        <f t="shared" si="12"/>
        <v>1.05</v>
      </c>
      <c r="I108" s="51">
        <f t="shared" si="12"/>
        <v>1.01</v>
      </c>
      <c r="J108" s="51">
        <f t="shared" si="12"/>
        <v>0.91300000000000003</v>
      </c>
      <c r="K108" s="99">
        <f t="shared" si="12"/>
        <v>1.08</v>
      </c>
      <c r="L108" s="99">
        <f t="shared" si="12"/>
        <v>9.8400000000000001E-2</v>
      </c>
      <c r="M108" s="51">
        <f t="shared" si="12"/>
        <v>1.06</v>
      </c>
      <c r="N108" s="51">
        <f t="shared" si="12"/>
        <v>1.01</v>
      </c>
      <c r="O108" s="51">
        <f t="shared" si="12"/>
        <v>0.92300000000000004</v>
      </c>
    </row>
    <row r="109" spans="2:15">
      <c r="B109" s="39" t="str">
        <f t="shared" si="4"/>
        <v>EM-CE38-3C*</v>
      </c>
      <c r="C109" s="100">
        <f t="shared" si="5"/>
        <v>135</v>
      </c>
      <c r="D109" s="74">
        <f t="shared" si="6"/>
        <v>153</v>
      </c>
      <c r="E109" s="101">
        <f t="shared" si="7"/>
        <v>170</v>
      </c>
      <c r="F109" s="99">
        <f t="shared" ref="F109:O109" si="13">F96</f>
        <v>0.626</v>
      </c>
      <c r="G109" s="99">
        <f t="shared" si="13"/>
        <v>7.7100000000000002E-2</v>
      </c>
      <c r="H109" s="51">
        <f t="shared" si="13"/>
        <v>0.61899999999999999</v>
      </c>
      <c r="I109" s="51">
        <f t="shared" si="13"/>
        <v>0.59699999999999998</v>
      </c>
      <c r="J109" s="51">
        <f t="shared" si="13"/>
        <v>0.54700000000000004</v>
      </c>
      <c r="K109" s="99">
        <f t="shared" si="13"/>
        <v>0.627</v>
      </c>
      <c r="L109" s="99">
        <f t="shared" si="13"/>
        <v>9.2499999999999999E-2</v>
      </c>
      <c r="M109" s="51">
        <f t="shared" si="13"/>
        <v>0.625</v>
      </c>
      <c r="N109" s="51">
        <f t="shared" si="13"/>
        <v>0.60499999999999998</v>
      </c>
      <c r="O109" s="51">
        <f t="shared" si="13"/>
        <v>0.55700000000000005</v>
      </c>
    </row>
    <row r="110" spans="2:15">
      <c r="B110" s="39" t="str">
        <f t="shared" si="4"/>
        <v>EM-CE60-3C*</v>
      </c>
      <c r="C110" s="100">
        <f t="shared" si="5"/>
        <v>175</v>
      </c>
      <c r="D110" s="74">
        <f t="shared" si="6"/>
        <v>199</v>
      </c>
      <c r="E110" s="101">
        <f t="shared" si="7"/>
        <v>225</v>
      </c>
      <c r="F110" s="99">
        <f t="shared" ref="F110:O110" si="14">F97</f>
        <v>0.39700000000000002</v>
      </c>
      <c r="G110" s="99">
        <f t="shared" si="14"/>
        <v>7.6799999999999993E-2</v>
      </c>
      <c r="H110" s="51">
        <f t="shared" si="14"/>
        <v>0.40100000000000002</v>
      </c>
      <c r="I110" s="51">
        <f t="shared" si="14"/>
        <v>0.39100000000000001</v>
      </c>
      <c r="J110" s="51">
        <f t="shared" si="14"/>
        <v>0.36399999999999999</v>
      </c>
      <c r="K110" s="99">
        <f t="shared" si="14"/>
        <v>0.39700000000000002</v>
      </c>
      <c r="L110" s="99">
        <f t="shared" si="14"/>
        <v>9.2200000000000004E-2</v>
      </c>
      <c r="M110" s="51">
        <f t="shared" si="14"/>
        <v>0.40600000000000003</v>
      </c>
      <c r="N110" s="51">
        <f t="shared" si="14"/>
        <v>0.39700000000000002</v>
      </c>
      <c r="O110" s="51">
        <f t="shared" si="14"/>
        <v>0.373</v>
      </c>
    </row>
    <row r="111" spans="2:15">
      <c r="B111" s="39" t="str">
        <f t="shared" si="4"/>
        <v>EM-CE100-3C*</v>
      </c>
      <c r="C111" s="100">
        <f t="shared" si="5"/>
        <v>245</v>
      </c>
      <c r="D111" s="74">
        <f t="shared" si="6"/>
        <v>279</v>
      </c>
      <c r="E111" s="101">
        <f t="shared" si="7"/>
        <v>310</v>
      </c>
      <c r="F111" s="99">
        <f t="shared" ref="F111:O111" si="15">F98</f>
        <v>0.23899999999999999</v>
      </c>
      <c r="G111" s="99">
        <f t="shared" si="15"/>
        <v>7.7299999999999994E-2</v>
      </c>
      <c r="H111" s="51">
        <f t="shared" si="15"/>
        <v>0.251</v>
      </c>
      <c r="I111" s="51">
        <f t="shared" si="15"/>
        <v>0.249</v>
      </c>
      <c r="J111" s="51">
        <f t="shared" si="15"/>
        <v>0.23799999999999999</v>
      </c>
      <c r="K111" s="99">
        <f t="shared" si="15"/>
        <v>0.24</v>
      </c>
      <c r="L111" s="99">
        <f t="shared" si="15"/>
        <v>9.2799999999999994E-2</v>
      </c>
      <c r="M111" s="51">
        <f t="shared" si="15"/>
        <v>0.25700000000000001</v>
      </c>
      <c r="N111" s="51">
        <f t="shared" si="15"/>
        <v>0.25600000000000001</v>
      </c>
      <c r="O111" s="51">
        <f t="shared" si="15"/>
        <v>0.248</v>
      </c>
    </row>
    <row r="112" spans="2:15">
      <c r="B112" s="39" t="str">
        <f t="shared" si="4"/>
        <v>EM-CE150-3C*</v>
      </c>
      <c r="C112" s="100">
        <f t="shared" si="5"/>
        <v>320</v>
      </c>
      <c r="D112" s="74">
        <f t="shared" si="6"/>
        <v>364</v>
      </c>
      <c r="E112" s="101">
        <f t="shared" si="7"/>
        <v>400</v>
      </c>
      <c r="F112" s="99">
        <f t="shared" ref="F112:O112" si="16">F99</f>
        <v>0.16</v>
      </c>
      <c r="G112" s="99">
        <f t="shared" si="16"/>
        <v>7.4399999999999994E-2</v>
      </c>
      <c r="H112" s="51">
        <f t="shared" si="16"/>
        <v>0.17499999999999999</v>
      </c>
      <c r="I112" s="51">
        <f t="shared" si="16"/>
        <v>0.17599999999999999</v>
      </c>
      <c r="J112" s="51">
        <f t="shared" si="16"/>
        <v>0.17299999999999999</v>
      </c>
      <c r="K112" s="99">
        <f t="shared" si="16"/>
        <v>0.16</v>
      </c>
      <c r="L112" s="99">
        <f t="shared" si="16"/>
        <v>8.9300000000000004E-2</v>
      </c>
      <c r="M112" s="51">
        <f t="shared" si="16"/>
        <v>0.18</v>
      </c>
      <c r="N112" s="51">
        <f t="shared" si="16"/>
        <v>0.183</v>
      </c>
      <c r="O112" s="51">
        <f t="shared" si="16"/>
        <v>0.182</v>
      </c>
    </row>
    <row r="113" spans="2:15">
      <c r="B113" s="39" t="str">
        <f t="shared" si="4"/>
        <v>EM-CE200-3C*</v>
      </c>
      <c r="C113" s="100">
        <f t="shared" si="5"/>
        <v>390</v>
      </c>
      <c r="D113" s="74">
        <f t="shared" si="6"/>
        <v>444</v>
      </c>
      <c r="E113" s="101">
        <f t="shared" si="7"/>
        <v>485</v>
      </c>
      <c r="F113" s="99">
        <f t="shared" ref="F113:O113" si="17">F100</f>
        <v>0.121</v>
      </c>
      <c r="G113" s="99">
        <f t="shared" si="17"/>
        <v>7.5499999999999998E-2</v>
      </c>
      <c r="H113" s="51">
        <f t="shared" si="17"/>
        <v>0.13900000000000001</v>
      </c>
      <c r="I113" s="51">
        <f t="shared" si="17"/>
        <v>0.14199999999999999</v>
      </c>
      <c r="J113" s="51">
        <f t="shared" si="17"/>
        <v>0.14199999999999999</v>
      </c>
      <c r="K113" s="99">
        <f t="shared" si="17"/>
        <v>0.122</v>
      </c>
      <c r="L113" s="99">
        <f t="shared" si="17"/>
        <v>9.06E-2</v>
      </c>
      <c r="M113" s="51">
        <f t="shared" si="17"/>
        <v>0.14399999999999999</v>
      </c>
      <c r="N113" s="51">
        <f t="shared" si="17"/>
        <v>0.14899999999999999</v>
      </c>
      <c r="O113" s="51">
        <f t="shared" si="17"/>
        <v>0.152</v>
      </c>
    </row>
    <row r="114" spans="2:15">
      <c r="B114" s="39" t="str">
        <f t="shared" si="4"/>
        <v>EM-CE250-3C*</v>
      </c>
      <c r="C114" s="100">
        <f t="shared" si="5"/>
        <v>455</v>
      </c>
      <c r="D114" s="74">
        <f t="shared" si="6"/>
        <v>518</v>
      </c>
      <c r="E114" s="101">
        <f t="shared" si="7"/>
        <v>560</v>
      </c>
      <c r="F114" s="99">
        <f t="shared" ref="F114:O114" si="18">F101</f>
        <v>9.8500000000000004E-2</v>
      </c>
      <c r="G114" s="99">
        <f t="shared" si="18"/>
        <v>7.3899999999999993E-2</v>
      </c>
      <c r="H114" s="51">
        <f t="shared" si="18"/>
        <v>0.11700000000000001</v>
      </c>
      <c r="I114" s="51">
        <f t="shared" si="18"/>
        <v>0.121</v>
      </c>
      <c r="J114" s="51">
        <f t="shared" si="18"/>
        <v>0.123</v>
      </c>
      <c r="K114" s="99">
        <f t="shared" si="18"/>
        <v>9.9500000000000005E-2</v>
      </c>
      <c r="L114" s="99">
        <f t="shared" si="18"/>
        <v>8.8700000000000001E-2</v>
      </c>
      <c r="M114" s="51">
        <f t="shared" si="18"/>
        <v>0.123</v>
      </c>
      <c r="N114" s="51">
        <f t="shared" si="18"/>
        <v>0.128</v>
      </c>
      <c r="O114" s="51">
        <f t="shared" si="18"/>
        <v>0.13300000000000001</v>
      </c>
    </row>
    <row r="115" spans="2:15">
      <c r="B115" s="39" t="str">
        <f t="shared" si="4"/>
        <v>EM-CE325-3C*</v>
      </c>
      <c r="C115" s="100">
        <f t="shared" si="5"/>
        <v>540</v>
      </c>
      <c r="D115" s="74">
        <f t="shared" si="6"/>
        <v>615</v>
      </c>
      <c r="E115" s="101">
        <f t="shared" si="7"/>
        <v>660</v>
      </c>
      <c r="F115" s="99">
        <f t="shared" ref="F115:O115" si="19">F102</f>
        <v>7.6999999999999999E-2</v>
      </c>
      <c r="G115" s="99">
        <f t="shared" si="19"/>
        <v>7.2300000000000003E-2</v>
      </c>
      <c r="H115" s="51">
        <f t="shared" si="19"/>
        <v>9.6000000000000002E-2</v>
      </c>
      <c r="I115" s="51">
        <f t="shared" si="19"/>
        <v>0.10100000000000001</v>
      </c>
      <c r="J115" s="51">
        <f t="shared" si="19"/>
        <v>0.105</v>
      </c>
      <c r="K115" s="99">
        <f t="shared" si="19"/>
        <v>7.8299999999999995E-2</v>
      </c>
      <c r="L115" s="99">
        <f t="shared" si="19"/>
        <v>8.6699999999999999E-2</v>
      </c>
      <c r="M115" s="51">
        <f t="shared" si="19"/>
        <v>0.10199999999999999</v>
      </c>
      <c r="N115" s="51">
        <f t="shared" si="19"/>
        <v>0.108</v>
      </c>
      <c r="O115" s="51">
        <f t="shared" si="19"/>
        <v>0.115</v>
      </c>
    </row>
    <row r="116" spans="2:15">
      <c r="B116" s="39" t="s">
        <v>268</v>
      </c>
      <c r="C116" s="100">
        <f>C90</f>
        <v>19</v>
      </c>
      <c r="D116" s="74">
        <f t="shared" si="6"/>
        <v>21</v>
      </c>
      <c r="E116" s="101">
        <f>E90</f>
        <v>23</v>
      </c>
      <c r="F116" s="64">
        <v>12</v>
      </c>
      <c r="G116" s="64">
        <v>0.107</v>
      </c>
      <c r="H116" s="51">
        <f t="shared" ref="H116:J128" si="20">ROUNDDOWN(($F116*H$7)+($G116*(SQRT(1-(H$7^2)))),3)</f>
        <v>11.433</v>
      </c>
      <c r="I116" s="51">
        <f t="shared" si="20"/>
        <v>10.846</v>
      </c>
      <c r="J116" s="51">
        <f t="shared" si="20"/>
        <v>9.6639999999999997</v>
      </c>
      <c r="K116" s="64">
        <v>12</v>
      </c>
      <c r="L116" s="64">
        <v>0.128</v>
      </c>
      <c r="M116" s="51">
        <f t="shared" ref="M116:O128" si="21">ROUNDDOWN(($K116*M$7)+($L116*(SQRT(1-(M$7^2)))),3)</f>
        <v>11.439</v>
      </c>
      <c r="N116" s="51">
        <f t="shared" si="21"/>
        <v>10.855</v>
      </c>
      <c r="O116" s="51">
        <f t="shared" si="21"/>
        <v>9.6760000000000002</v>
      </c>
    </row>
    <row r="117" spans="2:15">
      <c r="B117" s="39" t="s">
        <v>269</v>
      </c>
      <c r="C117" s="100">
        <f t="shared" ref="C117:C128" si="22">C91</f>
        <v>26</v>
      </c>
      <c r="D117" s="74">
        <f t="shared" ref="D117:D128" si="23">ROUNDDOWN(C117*1.14,0)</f>
        <v>29</v>
      </c>
      <c r="E117" s="101">
        <f t="shared" ref="E117:E128" si="24">E91</f>
        <v>33</v>
      </c>
      <c r="F117" s="64">
        <v>6.76</v>
      </c>
      <c r="G117" s="64">
        <v>9.8699999999999996E-2</v>
      </c>
      <c r="H117" s="51">
        <f t="shared" si="20"/>
        <v>6.452</v>
      </c>
      <c r="I117" s="51">
        <f t="shared" si="20"/>
        <v>6.1269999999999998</v>
      </c>
      <c r="J117" s="51">
        <f t="shared" si="20"/>
        <v>5.4669999999999996</v>
      </c>
      <c r="K117" s="64">
        <v>6.76</v>
      </c>
      <c r="L117" s="64">
        <v>0.11899999999999999</v>
      </c>
      <c r="M117" s="51">
        <f t="shared" si="21"/>
        <v>6.4589999999999996</v>
      </c>
      <c r="N117" s="51">
        <f t="shared" si="21"/>
        <v>6.1349999999999998</v>
      </c>
      <c r="O117" s="51">
        <f t="shared" si="21"/>
        <v>5.4790000000000001</v>
      </c>
    </row>
    <row r="118" spans="2:15">
      <c r="B118" s="39" t="s">
        <v>270</v>
      </c>
      <c r="C118" s="100">
        <f t="shared" si="22"/>
        <v>35</v>
      </c>
      <c r="D118" s="74">
        <f t="shared" si="23"/>
        <v>39</v>
      </c>
      <c r="E118" s="101">
        <f t="shared" si="24"/>
        <v>44</v>
      </c>
      <c r="F118" s="64">
        <v>4.34</v>
      </c>
      <c r="G118" s="64">
        <v>9.8699999999999996E-2</v>
      </c>
      <c r="H118" s="51">
        <f t="shared" si="20"/>
        <v>4.1529999999999996</v>
      </c>
      <c r="I118" s="51">
        <f t="shared" si="20"/>
        <v>3.9489999999999998</v>
      </c>
      <c r="J118" s="51">
        <f t="shared" si="20"/>
        <v>3.5310000000000001</v>
      </c>
      <c r="K118" s="64">
        <v>4.34</v>
      </c>
      <c r="L118" s="64">
        <v>0.11899999999999999</v>
      </c>
      <c r="M118" s="51">
        <f t="shared" si="21"/>
        <v>4.16</v>
      </c>
      <c r="N118" s="51">
        <f t="shared" si="21"/>
        <v>3.9569999999999999</v>
      </c>
      <c r="O118" s="51">
        <f t="shared" si="21"/>
        <v>3.5430000000000001</v>
      </c>
    </row>
    <row r="119" spans="2:15">
      <c r="B119" s="39" t="s">
        <v>271</v>
      </c>
      <c r="C119" s="100">
        <f t="shared" si="22"/>
        <v>43</v>
      </c>
      <c r="D119" s="74">
        <f t="shared" si="23"/>
        <v>49</v>
      </c>
      <c r="E119" s="101">
        <f t="shared" si="24"/>
        <v>54</v>
      </c>
      <c r="F119" s="64">
        <v>2.98</v>
      </c>
      <c r="G119" s="64">
        <v>9.4299999999999995E-2</v>
      </c>
      <c r="H119" s="51">
        <f t="shared" si="20"/>
        <v>2.86</v>
      </c>
      <c r="I119" s="51">
        <f t="shared" si="20"/>
        <v>2.7229999999999999</v>
      </c>
      <c r="J119" s="51">
        <f t="shared" si="20"/>
        <v>2.44</v>
      </c>
      <c r="K119" s="64">
        <v>2.98</v>
      </c>
      <c r="L119" s="64">
        <v>0.113</v>
      </c>
      <c r="M119" s="51">
        <f t="shared" si="21"/>
        <v>2.8660000000000001</v>
      </c>
      <c r="N119" s="51">
        <f t="shared" si="21"/>
        <v>2.7309999999999999</v>
      </c>
      <c r="O119" s="51">
        <f t="shared" si="21"/>
        <v>2.4510000000000001</v>
      </c>
    </row>
    <row r="120" spans="2:15">
      <c r="B120" s="39" t="s">
        <v>272</v>
      </c>
      <c r="C120" s="100">
        <f t="shared" si="22"/>
        <v>59</v>
      </c>
      <c r="D120" s="74">
        <f t="shared" si="23"/>
        <v>67</v>
      </c>
      <c r="E120" s="101">
        <f t="shared" si="24"/>
        <v>76</v>
      </c>
      <c r="F120" s="64">
        <v>1.71</v>
      </c>
      <c r="G120" s="64">
        <v>9.01E-2</v>
      </c>
      <c r="H120" s="51">
        <f t="shared" si="20"/>
        <v>1.6519999999999999</v>
      </c>
      <c r="I120" s="51">
        <f t="shared" si="20"/>
        <v>1.5780000000000001</v>
      </c>
      <c r="J120" s="51">
        <f t="shared" si="20"/>
        <v>1.4219999999999999</v>
      </c>
      <c r="K120" s="64">
        <v>1.71</v>
      </c>
      <c r="L120" s="64">
        <v>0.108</v>
      </c>
      <c r="M120" s="51">
        <f t="shared" si="21"/>
        <v>1.6579999999999999</v>
      </c>
      <c r="N120" s="51">
        <f t="shared" si="21"/>
        <v>1.5860000000000001</v>
      </c>
      <c r="O120" s="51">
        <f t="shared" si="21"/>
        <v>1.4319999999999999</v>
      </c>
    </row>
    <row r="121" spans="2:15">
      <c r="B121" s="39" t="s">
        <v>273</v>
      </c>
      <c r="C121" s="100">
        <f t="shared" si="22"/>
        <v>77</v>
      </c>
      <c r="D121" s="74">
        <f t="shared" si="23"/>
        <v>87</v>
      </c>
      <c r="E121" s="101">
        <f t="shared" si="24"/>
        <v>100</v>
      </c>
      <c r="F121" s="64">
        <v>1.08</v>
      </c>
      <c r="G121" s="64">
        <v>8.9300000000000004E-2</v>
      </c>
      <c r="H121" s="51">
        <f t="shared" si="20"/>
        <v>1.0529999999999999</v>
      </c>
      <c r="I121" s="51">
        <f t="shared" si="20"/>
        <v>1.01</v>
      </c>
      <c r="J121" s="51">
        <f t="shared" si="20"/>
        <v>0.91700000000000004</v>
      </c>
      <c r="K121" s="64">
        <v>1.08</v>
      </c>
      <c r="L121" s="64">
        <v>0.107</v>
      </c>
      <c r="M121" s="51">
        <f t="shared" si="21"/>
        <v>1.0589999999999999</v>
      </c>
      <c r="N121" s="51">
        <f t="shared" si="21"/>
        <v>1.018</v>
      </c>
      <c r="O121" s="51">
        <f t="shared" si="21"/>
        <v>0.92800000000000005</v>
      </c>
    </row>
    <row r="122" spans="2:15">
      <c r="B122" s="39" t="s">
        <v>274</v>
      </c>
      <c r="C122" s="100">
        <f t="shared" si="22"/>
        <v>110</v>
      </c>
      <c r="D122" s="74">
        <f t="shared" si="23"/>
        <v>125</v>
      </c>
      <c r="E122" s="101">
        <f t="shared" si="24"/>
        <v>140</v>
      </c>
      <c r="F122" s="64">
        <v>0.626</v>
      </c>
      <c r="G122" s="64">
        <v>8.4400000000000003E-2</v>
      </c>
      <c r="H122" s="51">
        <f t="shared" si="20"/>
        <v>0.621</v>
      </c>
      <c r="I122" s="51">
        <f t="shared" si="20"/>
        <v>0.6</v>
      </c>
      <c r="J122" s="51">
        <f t="shared" si="20"/>
        <v>0.55100000000000005</v>
      </c>
      <c r="K122" s="64">
        <v>0.627</v>
      </c>
      <c r="L122" s="64">
        <v>0.10100000000000001</v>
      </c>
      <c r="M122" s="51">
        <f t="shared" si="21"/>
        <v>0.627</v>
      </c>
      <c r="N122" s="51">
        <f t="shared" si="21"/>
        <v>0.60799999999999998</v>
      </c>
      <c r="O122" s="51">
        <f t="shared" si="21"/>
        <v>0.56200000000000006</v>
      </c>
    </row>
    <row r="123" spans="2:15">
      <c r="B123" s="39" t="s">
        <v>275</v>
      </c>
      <c r="C123" s="100">
        <f t="shared" si="22"/>
        <v>150</v>
      </c>
      <c r="D123" s="74">
        <f t="shared" si="23"/>
        <v>171</v>
      </c>
      <c r="E123" s="101">
        <f t="shared" si="24"/>
        <v>190</v>
      </c>
      <c r="F123" s="64">
        <v>0.39700000000000002</v>
      </c>
      <c r="G123" s="64">
        <v>8.4099999999999994E-2</v>
      </c>
      <c r="H123" s="51">
        <f t="shared" si="20"/>
        <v>0.40300000000000002</v>
      </c>
      <c r="I123" s="51">
        <f t="shared" si="20"/>
        <v>0.39300000000000002</v>
      </c>
      <c r="J123" s="51">
        <f t="shared" si="20"/>
        <v>0.36799999999999999</v>
      </c>
      <c r="K123" s="64">
        <v>0.39700000000000002</v>
      </c>
      <c r="L123" s="64">
        <v>0.10100000000000001</v>
      </c>
      <c r="M123" s="51">
        <f t="shared" si="21"/>
        <v>0.40799999999999997</v>
      </c>
      <c r="N123" s="51">
        <f t="shared" si="21"/>
        <v>0.40100000000000002</v>
      </c>
      <c r="O123" s="51">
        <f t="shared" si="21"/>
        <v>0.378</v>
      </c>
    </row>
    <row r="124" spans="2:15">
      <c r="B124" s="39" t="s">
        <v>276</v>
      </c>
      <c r="C124" s="100">
        <f t="shared" si="22"/>
        <v>210</v>
      </c>
      <c r="D124" s="74">
        <f t="shared" si="23"/>
        <v>239</v>
      </c>
      <c r="E124" s="101">
        <f t="shared" si="24"/>
        <v>260</v>
      </c>
      <c r="F124" s="64">
        <v>0.23899999999999999</v>
      </c>
      <c r="G124" s="64">
        <v>8.4599999999999995E-2</v>
      </c>
      <c r="H124" s="51">
        <f t="shared" si="20"/>
        <v>0.253</v>
      </c>
      <c r="I124" s="51">
        <f t="shared" si="20"/>
        <v>0.251</v>
      </c>
      <c r="J124" s="51">
        <f t="shared" si="20"/>
        <v>0.24099999999999999</v>
      </c>
      <c r="K124" s="64">
        <v>0.24</v>
      </c>
      <c r="L124" s="64">
        <v>0.10199999999999999</v>
      </c>
      <c r="M124" s="51">
        <f t="shared" si="21"/>
        <v>0.25900000000000001</v>
      </c>
      <c r="N124" s="51">
        <f t="shared" si="21"/>
        <v>0.26</v>
      </c>
      <c r="O124" s="51">
        <f t="shared" si="21"/>
        <v>0.253</v>
      </c>
    </row>
    <row r="125" spans="2:15">
      <c r="B125" s="39" t="s">
        <v>277</v>
      </c>
      <c r="C125" s="100">
        <f t="shared" si="22"/>
        <v>265</v>
      </c>
      <c r="D125" s="74">
        <f t="shared" si="23"/>
        <v>302</v>
      </c>
      <c r="E125" s="101">
        <f t="shared" si="24"/>
        <v>340</v>
      </c>
      <c r="F125" s="64">
        <v>0.16</v>
      </c>
      <c r="G125" s="64">
        <v>8.1600000000000006E-2</v>
      </c>
      <c r="H125" s="51">
        <f t="shared" si="20"/>
        <v>0.17699999999999999</v>
      </c>
      <c r="I125" s="51">
        <f t="shared" si="20"/>
        <v>0.17899999999999999</v>
      </c>
      <c r="J125" s="51">
        <f t="shared" si="20"/>
        <v>0.17599999999999999</v>
      </c>
      <c r="K125" s="64">
        <v>0.16</v>
      </c>
      <c r="L125" s="64">
        <v>9.8000000000000004E-2</v>
      </c>
      <c r="M125" s="51">
        <f t="shared" si="21"/>
        <v>0.182</v>
      </c>
      <c r="N125" s="51">
        <f t="shared" si="21"/>
        <v>0.186</v>
      </c>
      <c r="O125" s="51">
        <f t="shared" si="21"/>
        <v>0.186</v>
      </c>
    </row>
    <row r="126" spans="2:15">
      <c r="B126" s="39" t="s">
        <v>278</v>
      </c>
      <c r="C126" s="100">
        <f t="shared" si="22"/>
        <v>335</v>
      </c>
      <c r="D126" s="74">
        <f t="shared" si="23"/>
        <v>381</v>
      </c>
      <c r="E126" s="101">
        <f t="shared" si="24"/>
        <v>410</v>
      </c>
      <c r="F126" s="64">
        <v>0.121</v>
      </c>
      <c r="G126" s="64">
        <v>8.2699999999999996E-2</v>
      </c>
      <c r="H126" s="51">
        <f t="shared" si="20"/>
        <v>0.14000000000000001</v>
      </c>
      <c r="I126" s="51">
        <f t="shared" si="20"/>
        <v>0.14399999999999999</v>
      </c>
      <c r="J126" s="51">
        <f t="shared" si="20"/>
        <v>0.14599999999999999</v>
      </c>
      <c r="K126" s="64">
        <v>0.122</v>
      </c>
      <c r="L126" s="64">
        <v>0.99299999999999999</v>
      </c>
      <c r="M126" s="51">
        <f t="shared" si="21"/>
        <v>0.42499999999999999</v>
      </c>
      <c r="N126" s="51">
        <f t="shared" si="21"/>
        <v>0.54200000000000004</v>
      </c>
      <c r="O126" s="51">
        <f t="shared" si="21"/>
        <v>0.69299999999999995</v>
      </c>
    </row>
    <row r="127" spans="2:15">
      <c r="B127" s="39" t="s">
        <v>279</v>
      </c>
      <c r="C127" s="100">
        <f t="shared" si="22"/>
        <v>380</v>
      </c>
      <c r="D127" s="74">
        <f t="shared" si="23"/>
        <v>433</v>
      </c>
      <c r="E127" s="101">
        <f t="shared" si="24"/>
        <v>470</v>
      </c>
      <c r="F127" s="64">
        <v>9.8500000000000004E-2</v>
      </c>
      <c r="G127" s="64">
        <v>8.1199999999999994E-2</v>
      </c>
      <c r="H127" s="51">
        <f t="shared" si="20"/>
        <v>0.11799999999999999</v>
      </c>
      <c r="I127" s="51">
        <f t="shared" si="20"/>
        <v>0.124</v>
      </c>
      <c r="J127" s="51">
        <f t="shared" si="20"/>
        <v>0.127</v>
      </c>
      <c r="K127" s="64">
        <v>9.9500000000000005E-2</v>
      </c>
      <c r="L127" s="64">
        <v>0.97399999999999998</v>
      </c>
      <c r="M127" s="51">
        <f t="shared" si="21"/>
        <v>0.39800000000000002</v>
      </c>
      <c r="N127" s="51">
        <f t="shared" si="21"/>
        <v>0.51400000000000001</v>
      </c>
      <c r="O127" s="51">
        <f t="shared" si="21"/>
        <v>0.66400000000000003</v>
      </c>
    </row>
    <row r="128" spans="2:15" ht="14.25" thickBot="1">
      <c r="B128" s="39" t="s">
        <v>280</v>
      </c>
      <c r="C128" s="100">
        <f t="shared" si="22"/>
        <v>450</v>
      </c>
      <c r="D128" s="74">
        <f t="shared" si="23"/>
        <v>513</v>
      </c>
      <c r="E128" s="101">
        <f t="shared" si="24"/>
        <v>555</v>
      </c>
      <c r="F128" s="64">
        <v>7.6999999999999999E-2</v>
      </c>
      <c r="G128" s="64">
        <v>7.9500000000000001E-2</v>
      </c>
      <c r="H128" s="51">
        <f t="shared" si="20"/>
        <v>9.7000000000000003E-2</v>
      </c>
      <c r="I128" s="51">
        <f t="shared" si="20"/>
        <v>0.10299999999999999</v>
      </c>
      <c r="J128" s="51">
        <f t="shared" si="20"/>
        <v>0.109</v>
      </c>
      <c r="K128" s="64">
        <v>7.8299999999999995E-2</v>
      </c>
      <c r="L128" s="64">
        <v>0.95499999999999996</v>
      </c>
      <c r="M128" s="51">
        <f t="shared" si="21"/>
        <v>0.372</v>
      </c>
      <c r="N128" s="51">
        <f t="shared" si="21"/>
        <v>0.48599999999999999</v>
      </c>
      <c r="O128" s="51">
        <f t="shared" si="21"/>
        <v>0.63500000000000001</v>
      </c>
    </row>
    <row r="129" spans="2:15">
      <c r="B129" s="39" t="s">
        <v>142</v>
      </c>
      <c r="C129" s="52">
        <v>69</v>
      </c>
      <c r="D129" s="74">
        <f t="shared" si="0"/>
        <v>78</v>
      </c>
      <c r="E129" s="72">
        <v>91</v>
      </c>
      <c r="F129" s="65">
        <v>1.71</v>
      </c>
      <c r="G129" s="66">
        <v>0.107</v>
      </c>
      <c r="H129" s="54">
        <v>1.66</v>
      </c>
      <c r="I129" s="54">
        <v>1.59</v>
      </c>
      <c r="J129" s="54">
        <v>1.43</v>
      </c>
      <c r="K129" s="66">
        <v>1.71</v>
      </c>
      <c r="L129" s="66">
        <v>0.128</v>
      </c>
      <c r="M129" s="54">
        <v>1.66</v>
      </c>
      <c r="N129" s="54">
        <v>1.59</v>
      </c>
      <c r="O129" s="55">
        <v>1.44</v>
      </c>
    </row>
    <row r="130" spans="2:15">
      <c r="B130" s="39" t="s">
        <v>143</v>
      </c>
      <c r="C130" s="52">
        <v>92</v>
      </c>
      <c r="D130" s="74">
        <f t="shared" si="0"/>
        <v>104</v>
      </c>
      <c r="E130" s="72">
        <v>120</v>
      </c>
      <c r="F130" s="67">
        <v>1.08</v>
      </c>
      <c r="G130" s="64">
        <v>0.10299999999999999</v>
      </c>
      <c r="H130" s="42">
        <v>1.06</v>
      </c>
      <c r="I130" s="42">
        <v>1.02</v>
      </c>
      <c r="J130" s="42">
        <v>0.92600000000000005</v>
      </c>
      <c r="K130" s="64">
        <v>1.08</v>
      </c>
      <c r="L130" s="64">
        <v>0.123</v>
      </c>
      <c r="M130" s="42">
        <v>1.06</v>
      </c>
      <c r="N130" s="42">
        <v>1.03</v>
      </c>
      <c r="O130" s="56">
        <v>0.93799999999999994</v>
      </c>
    </row>
    <row r="131" spans="2:15">
      <c r="B131" s="39" t="s">
        <v>144</v>
      </c>
      <c r="C131" s="52">
        <v>125</v>
      </c>
      <c r="D131" s="74">
        <f t="shared" ref="D131:D171" si="25">ROUNDDOWN(C131*1.14,0)</f>
        <v>142</v>
      </c>
      <c r="E131" s="72">
        <v>165</v>
      </c>
      <c r="F131" s="67">
        <v>0.626</v>
      </c>
      <c r="G131" s="64">
        <v>9.5500000000000002E-2</v>
      </c>
      <c r="H131" s="42">
        <v>0.624</v>
      </c>
      <c r="I131" s="42">
        <v>0.60499999999999998</v>
      </c>
      <c r="J131" s="42">
        <v>0.55800000000000005</v>
      </c>
      <c r="K131" s="64">
        <v>0.626</v>
      </c>
      <c r="L131" s="64">
        <v>0.115</v>
      </c>
      <c r="M131" s="42">
        <v>0.63100000000000001</v>
      </c>
      <c r="N131" s="42">
        <v>0.61399999999999999</v>
      </c>
      <c r="O131" s="56">
        <v>0.56999999999999995</v>
      </c>
    </row>
    <row r="132" spans="2:15">
      <c r="B132" s="39" t="s">
        <v>145</v>
      </c>
      <c r="C132" s="52">
        <v>165</v>
      </c>
      <c r="D132" s="74">
        <f t="shared" si="25"/>
        <v>188</v>
      </c>
      <c r="E132" s="72">
        <v>225</v>
      </c>
      <c r="F132" s="67">
        <v>0.39700000000000002</v>
      </c>
      <c r="G132" s="64">
        <v>9.1300000000000006E-2</v>
      </c>
      <c r="H132" s="42">
        <v>0.40600000000000003</v>
      </c>
      <c r="I132" s="42">
        <v>0.39700000000000002</v>
      </c>
      <c r="J132" s="42">
        <v>0.372</v>
      </c>
      <c r="K132" s="64">
        <v>0.39700000000000002</v>
      </c>
      <c r="L132" s="64">
        <v>0.11</v>
      </c>
      <c r="M132" s="42">
        <v>0.41099999999999998</v>
      </c>
      <c r="N132" s="42">
        <v>0.40500000000000003</v>
      </c>
      <c r="O132" s="56">
        <v>0.38400000000000001</v>
      </c>
    </row>
    <row r="133" spans="2:15">
      <c r="B133" s="39" t="s">
        <v>146</v>
      </c>
      <c r="C133" s="52">
        <v>230</v>
      </c>
      <c r="D133" s="74">
        <f t="shared" si="25"/>
        <v>262</v>
      </c>
      <c r="E133" s="72">
        <v>310</v>
      </c>
      <c r="F133" s="67">
        <v>0.23899999999999999</v>
      </c>
      <c r="G133" s="64">
        <v>8.8099999999999998E-2</v>
      </c>
      <c r="H133" s="42">
        <v>0.255</v>
      </c>
      <c r="I133" s="42">
        <v>0.254</v>
      </c>
      <c r="J133" s="42">
        <v>0.24399999999999999</v>
      </c>
      <c r="K133" s="64">
        <v>0.23899999999999999</v>
      </c>
      <c r="L133" s="64">
        <v>0.106</v>
      </c>
      <c r="M133" s="42">
        <v>0.26</v>
      </c>
      <c r="N133" s="42">
        <v>0.26100000000000001</v>
      </c>
      <c r="O133" s="56">
        <v>0.255</v>
      </c>
    </row>
    <row r="134" spans="2:15">
      <c r="B134" s="39" t="s">
        <v>147</v>
      </c>
      <c r="C134" s="52">
        <v>310</v>
      </c>
      <c r="D134" s="74">
        <f t="shared" si="25"/>
        <v>353</v>
      </c>
      <c r="E134" s="72">
        <v>400</v>
      </c>
      <c r="F134" s="67">
        <v>0.159</v>
      </c>
      <c r="G134" s="64">
        <v>8.4599999999999995E-2</v>
      </c>
      <c r="H134" s="42">
        <v>0.17699999999999999</v>
      </c>
      <c r="I134" s="42">
        <v>0.18</v>
      </c>
      <c r="J134" s="42">
        <v>0.17799999999999999</v>
      </c>
      <c r="K134" s="64">
        <v>0.16</v>
      </c>
      <c r="L134" s="64">
        <v>0.10199999999999999</v>
      </c>
      <c r="M134" s="42">
        <v>0.184</v>
      </c>
      <c r="N134" s="42">
        <v>0.188</v>
      </c>
      <c r="O134" s="56">
        <v>0.189</v>
      </c>
    </row>
    <row r="135" spans="2:15">
      <c r="B135" s="39" t="s">
        <v>148</v>
      </c>
      <c r="C135" s="52">
        <v>370</v>
      </c>
      <c r="D135" s="74">
        <f t="shared" si="25"/>
        <v>421</v>
      </c>
      <c r="E135" s="72">
        <v>490</v>
      </c>
      <c r="F135" s="67">
        <v>0.121</v>
      </c>
      <c r="G135" s="64">
        <v>8.5900000000000004E-2</v>
      </c>
      <c r="H135" s="42">
        <v>0.14199999999999999</v>
      </c>
      <c r="I135" s="42">
        <v>0.14599999999999999</v>
      </c>
      <c r="J135" s="42">
        <v>0.14799999999999999</v>
      </c>
      <c r="K135" s="64">
        <v>0.121</v>
      </c>
      <c r="L135" s="64">
        <v>0.10299999999999999</v>
      </c>
      <c r="M135" s="42">
        <v>0.14699999999999999</v>
      </c>
      <c r="N135" s="42">
        <v>0.154</v>
      </c>
      <c r="O135" s="56">
        <v>0.159</v>
      </c>
    </row>
    <row r="136" spans="2:15">
      <c r="B136" s="39" t="s">
        <v>149</v>
      </c>
      <c r="C136" s="52">
        <v>435</v>
      </c>
      <c r="D136" s="74">
        <f t="shared" si="25"/>
        <v>495</v>
      </c>
      <c r="E136" s="72">
        <v>565</v>
      </c>
      <c r="F136" s="67">
        <v>9.8100000000000007E-2</v>
      </c>
      <c r="G136" s="64">
        <v>8.3599999999999994E-2</v>
      </c>
      <c r="H136" s="42">
        <v>0.11899999999999999</v>
      </c>
      <c r="I136" s="42">
        <v>0.125</v>
      </c>
      <c r="J136" s="42">
        <v>0.129</v>
      </c>
      <c r="K136" s="64">
        <v>9.9000000000000005E-2</v>
      </c>
      <c r="L136" s="64">
        <v>0.1</v>
      </c>
      <c r="M136" s="42">
        <v>0.125</v>
      </c>
      <c r="N136" s="42">
        <v>0.13300000000000001</v>
      </c>
      <c r="O136" s="56">
        <v>0.13900000000000001</v>
      </c>
    </row>
    <row r="137" spans="2:15" ht="14.25" thickBot="1">
      <c r="B137" s="39" t="s">
        <v>150</v>
      </c>
      <c r="C137" s="52">
        <v>505</v>
      </c>
      <c r="D137" s="74">
        <f t="shared" si="25"/>
        <v>575</v>
      </c>
      <c r="E137" s="72">
        <v>670</v>
      </c>
      <c r="F137" s="68">
        <v>7.6399999999999996E-2</v>
      </c>
      <c r="G137" s="69">
        <v>8.1600000000000006E-2</v>
      </c>
      <c r="H137" s="57">
        <v>9.9000000000000005E-2</v>
      </c>
      <c r="I137" s="57">
        <v>0.104</v>
      </c>
      <c r="J137" s="57">
        <v>0.11</v>
      </c>
      <c r="K137" s="69">
        <v>7.7600000000000002E-2</v>
      </c>
      <c r="L137" s="69">
        <v>9.8000000000000004E-2</v>
      </c>
      <c r="M137" s="57">
        <v>0.10299999999999999</v>
      </c>
      <c r="N137" s="57">
        <v>0.112</v>
      </c>
      <c r="O137" s="58">
        <v>0.12</v>
      </c>
    </row>
    <row r="138" spans="2:15">
      <c r="B138" s="39" t="s">
        <v>151</v>
      </c>
      <c r="C138" s="52">
        <v>63</v>
      </c>
      <c r="D138" s="74">
        <f t="shared" si="25"/>
        <v>71</v>
      </c>
      <c r="E138" s="71">
        <v>86</v>
      </c>
      <c r="F138" s="70">
        <v>1.71</v>
      </c>
      <c r="G138" s="70">
        <v>0.107</v>
      </c>
      <c r="H138" s="53">
        <v>1.66</v>
      </c>
      <c r="I138" s="53">
        <v>1.59</v>
      </c>
      <c r="J138" s="53">
        <v>1.43</v>
      </c>
      <c r="K138" s="70">
        <v>1.71</v>
      </c>
      <c r="L138" s="70">
        <v>0.128</v>
      </c>
      <c r="M138" s="53">
        <v>1.66</v>
      </c>
      <c r="N138" s="53">
        <v>1.59</v>
      </c>
      <c r="O138" s="53">
        <v>1.44</v>
      </c>
    </row>
    <row r="139" spans="2:15">
      <c r="B139" s="39" t="s">
        <v>152</v>
      </c>
      <c r="C139" s="52">
        <v>82</v>
      </c>
      <c r="D139" s="74">
        <f t="shared" si="25"/>
        <v>93</v>
      </c>
      <c r="E139" s="71">
        <v>110</v>
      </c>
      <c r="F139" s="64">
        <v>1.08</v>
      </c>
      <c r="G139" s="64">
        <v>0.10299999999999999</v>
      </c>
      <c r="H139" s="42">
        <v>1.06</v>
      </c>
      <c r="I139" s="42">
        <v>1.02</v>
      </c>
      <c r="J139" s="42">
        <v>0.92600000000000005</v>
      </c>
      <c r="K139" s="64">
        <v>1.08</v>
      </c>
      <c r="L139" s="64">
        <v>0.123</v>
      </c>
      <c r="M139" s="42">
        <v>1.06</v>
      </c>
      <c r="N139" s="42">
        <v>1.03</v>
      </c>
      <c r="O139" s="42">
        <v>0.93799999999999994</v>
      </c>
    </row>
    <row r="140" spans="2:15">
      <c r="B140" s="39" t="s">
        <v>153</v>
      </c>
      <c r="C140" s="52">
        <v>110</v>
      </c>
      <c r="D140" s="74">
        <f t="shared" si="25"/>
        <v>125</v>
      </c>
      <c r="E140" s="71">
        <v>155</v>
      </c>
      <c r="F140" s="64">
        <v>0.626</v>
      </c>
      <c r="G140" s="64">
        <v>9.5500000000000002E-2</v>
      </c>
      <c r="H140" s="42">
        <v>0.624</v>
      </c>
      <c r="I140" s="42">
        <v>0.60499999999999998</v>
      </c>
      <c r="J140" s="42">
        <v>0.55800000000000005</v>
      </c>
      <c r="K140" s="64">
        <v>0.626</v>
      </c>
      <c r="L140" s="64">
        <v>0.115</v>
      </c>
      <c r="M140" s="42">
        <v>0.63100000000000001</v>
      </c>
      <c r="N140" s="42">
        <v>0.61399999999999999</v>
      </c>
      <c r="O140" s="42">
        <v>0.56999999999999995</v>
      </c>
    </row>
    <row r="141" spans="2:15">
      <c r="B141" s="39" t="s">
        <v>154</v>
      </c>
      <c r="C141" s="52">
        <v>150</v>
      </c>
      <c r="D141" s="74">
        <f t="shared" si="25"/>
        <v>171</v>
      </c>
      <c r="E141" s="71">
        <v>210</v>
      </c>
      <c r="F141" s="64">
        <v>0.39700000000000002</v>
      </c>
      <c r="G141" s="64">
        <v>9.1300000000000006E-2</v>
      </c>
      <c r="H141" s="42">
        <v>0.40600000000000003</v>
      </c>
      <c r="I141" s="42">
        <v>0.39700000000000002</v>
      </c>
      <c r="J141" s="42">
        <v>0.372</v>
      </c>
      <c r="K141" s="64">
        <v>0.39700000000000002</v>
      </c>
      <c r="L141" s="64">
        <v>0.11</v>
      </c>
      <c r="M141" s="42">
        <v>0.41099999999999998</v>
      </c>
      <c r="N141" s="42">
        <v>0.40500000000000003</v>
      </c>
      <c r="O141" s="42">
        <v>0.38400000000000001</v>
      </c>
    </row>
    <row r="142" spans="2:15">
      <c r="B142" s="39" t="s">
        <v>155</v>
      </c>
      <c r="C142" s="52">
        <v>215</v>
      </c>
      <c r="D142" s="74">
        <f t="shared" si="25"/>
        <v>245</v>
      </c>
      <c r="E142" s="71">
        <v>290</v>
      </c>
      <c r="F142" s="64">
        <v>0.23899999999999999</v>
      </c>
      <c r="G142" s="64">
        <v>8.8099999999999998E-2</v>
      </c>
      <c r="H142" s="42">
        <v>0.255</v>
      </c>
      <c r="I142" s="42">
        <v>0.254</v>
      </c>
      <c r="J142" s="42">
        <v>0.24399999999999999</v>
      </c>
      <c r="K142" s="64">
        <v>0.23899999999999999</v>
      </c>
      <c r="L142" s="64">
        <v>0.106</v>
      </c>
      <c r="M142" s="42">
        <v>0.26</v>
      </c>
      <c r="N142" s="42">
        <v>0.26100000000000001</v>
      </c>
      <c r="O142" s="42">
        <v>0.255</v>
      </c>
    </row>
    <row r="143" spans="2:15">
      <c r="B143" s="39" t="s">
        <v>156</v>
      </c>
      <c r="C143" s="52">
        <v>275</v>
      </c>
      <c r="D143" s="74">
        <f t="shared" si="25"/>
        <v>313</v>
      </c>
      <c r="E143" s="71">
        <v>380</v>
      </c>
      <c r="F143" s="64">
        <v>0.159</v>
      </c>
      <c r="G143" s="64">
        <v>8.4599999999999995E-2</v>
      </c>
      <c r="H143" s="42">
        <v>0.17699999999999999</v>
      </c>
      <c r="I143" s="42">
        <v>0.18</v>
      </c>
      <c r="J143" s="42">
        <v>0.17799999999999999</v>
      </c>
      <c r="K143" s="64">
        <v>0.16</v>
      </c>
      <c r="L143" s="64">
        <v>0.10199999999999999</v>
      </c>
      <c r="M143" s="42">
        <v>0.184</v>
      </c>
      <c r="N143" s="42">
        <v>0.188</v>
      </c>
      <c r="O143" s="42">
        <v>0.189</v>
      </c>
    </row>
    <row r="144" spans="2:15">
      <c r="B144" s="39" t="s">
        <v>157</v>
      </c>
      <c r="C144" s="52">
        <v>340</v>
      </c>
      <c r="D144" s="74">
        <f t="shared" si="25"/>
        <v>387</v>
      </c>
      <c r="E144" s="71">
        <v>465</v>
      </c>
      <c r="F144" s="64">
        <v>0.121</v>
      </c>
      <c r="G144" s="64">
        <v>8.5900000000000004E-2</v>
      </c>
      <c r="H144" s="42">
        <v>0.14199999999999999</v>
      </c>
      <c r="I144" s="42">
        <v>0.14599999999999999</v>
      </c>
      <c r="J144" s="42">
        <v>0.14799999999999999</v>
      </c>
      <c r="K144" s="64">
        <v>0.121</v>
      </c>
      <c r="L144" s="64">
        <v>0.10299999999999999</v>
      </c>
      <c r="M144" s="42">
        <v>0.14699999999999999</v>
      </c>
      <c r="N144" s="42">
        <v>0.154</v>
      </c>
      <c r="O144" s="42">
        <v>0.159</v>
      </c>
    </row>
    <row r="145" spans="2:15">
      <c r="B145" s="39" t="s">
        <v>158</v>
      </c>
      <c r="C145" s="52">
        <v>395</v>
      </c>
      <c r="D145" s="74">
        <f t="shared" si="25"/>
        <v>450</v>
      </c>
      <c r="E145" s="71">
        <v>535</v>
      </c>
      <c r="F145" s="64">
        <v>9.8100000000000007E-2</v>
      </c>
      <c r="G145" s="64">
        <v>8.3599999999999994E-2</v>
      </c>
      <c r="H145" s="42">
        <v>0.11899999999999999</v>
      </c>
      <c r="I145" s="42">
        <v>0.125</v>
      </c>
      <c r="J145" s="42">
        <v>0.129</v>
      </c>
      <c r="K145" s="64">
        <v>9.9000000000000005E-2</v>
      </c>
      <c r="L145" s="64">
        <v>0.1</v>
      </c>
      <c r="M145" s="42">
        <v>0.125</v>
      </c>
      <c r="N145" s="42">
        <v>0.13300000000000001</v>
      </c>
      <c r="O145" s="42">
        <v>0.13900000000000001</v>
      </c>
    </row>
    <row r="146" spans="2:15">
      <c r="B146" s="39" t="s">
        <v>159</v>
      </c>
      <c r="C146" s="52">
        <v>475</v>
      </c>
      <c r="D146" s="74">
        <f t="shared" si="25"/>
        <v>541</v>
      </c>
      <c r="E146" s="71">
        <v>635</v>
      </c>
      <c r="F146" s="64">
        <v>7.6399999999999996E-2</v>
      </c>
      <c r="G146" s="64">
        <v>8.1600000000000006E-2</v>
      </c>
      <c r="H146" s="42">
        <v>9.9000000000000005E-2</v>
      </c>
      <c r="I146" s="42">
        <v>0.104</v>
      </c>
      <c r="J146" s="42">
        <v>0.11</v>
      </c>
      <c r="K146" s="64">
        <v>7.7600000000000002E-2</v>
      </c>
      <c r="L146" s="64">
        <v>9.8000000000000004E-2</v>
      </c>
      <c r="M146" s="42">
        <v>0.10299999999999999</v>
      </c>
      <c r="N146" s="42">
        <v>0.112</v>
      </c>
      <c r="O146" s="42">
        <v>0.12</v>
      </c>
    </row>
    <row r="147" spans="2:15">
      <c r="B147" s="39" t="str">
        <f t="shared" ref="B147:B155" si="26">B138&amp;"*"</f>
        <v>EM-CET14*</v>
      </c>
      <c r="C147" s="100">
        <f>C129</f>
        <v>69</v>
      </c>
      <c r="D147" s="74">
        <f t="shared" si="25"/>
        <v>78</v>
      </c>
      <c r="E147" s="101">
        <f>E129</f>
        <v>91</v>
      </c>
      <c r="F147" s="99">
        <f t="shared" ref="F147:O147" si="27">F138</f>
        <v>1.71</v>
      </c>
      <c r="G147" s="99">
        <f t="shared" si="27"/>
        <v>0.107</v>
      </c>
      <c r="H147" s="51">
        <f t="shared" si="27"/>
        <v>1.66</v>
      </c>
      <c r="I147" s="51">
        <f t="shared" si="27"/>
        <v>1.59</v>
      </c>
      <c r="J147" s="51">
        <f t="shared" si="27"/>
        <v>1.43</v>
      </c>
      <c r="K147" s="99">
        <f t="shared" si="27"/>
        <v>1.71</v>
      </c>
      <c r="L147" s="99">
        <f t="shared" si="27"/>
        <v>0.128</v>
      </c>
      <c r="M147" s="51">
        <f t="shared" si="27"/>
        <v>1.66</v>
      </c>
      <c r="N147" s="51">
        <f t="shared" si="27"/>
        <v>1.59</v>
      </c>
      <c r="O147" s="51">
        <f t="shared" si="27"/>
        <v>1.44</v>
      </c>
    </row>
    <row r="148" spans="2:15">
      <c r="B148" s="39" t="str">
        <f t="shared" si="26"/>
        <v>EM-CET22*</v>
      </c>
      <c r="C148" s="100">
        <f t="shared" ref="C148:C155" si="28">C130</f>
        <v>92</v>
      </c>
      <c r="D148" s="74">
        <f t="shared" ref="D148:D155" si="29">ROUNDDOWN(C148*1.14,0)</f>
        <v>104</v>
      </c>
      <c r="E148" s="101">
        <f t="shared" ref="E148:E155" si="30">E130</f>
        <v>120</v>
      </c>
      <c r="F148" s="99">
        <f t="shared" ref="F148:O148" si="31">F139</f>
        <v>1.08</v>
      </c>
      <c r="G148" s="99">
        <f t="shared" si="31"/>
        <v>0.10299999999999999</v>
      </c>
      <c r="H148" s="51">
        <f t="shared" si="31"/>
        <v>1.06</v>
      </c>
      <c r="I148" s="51">
        <f t="shared" si="31"/>
        <v>1.02</v>
      </c>
      <c r="J148" s="51">
        <f t="shared" si="31"/>
        <v>0.92600000000000005</v>
      </c>
      <c r="K148" s="99">
        <f t="shared" si="31"/>
        <v>1.08</v>
      </c>
      <c r="L148" s="99">
        <f t="shared" si="31"/>
        <v>0.123</v>
      </c>
      <c r="M148" s="51">
        <f t="shared" si="31"/>
        <v>1.06</v>
      </c>
      <c r="N148" s="51">
        <f t="shared" si="31"/>
        <v>1.03</v>
      </c>
      <c r="O148" s="51">
        <f t="shared" si="31"/>
        <v>0.93799999999999994</v>
      </c>
    </row>
    <row r="149" spans="2:15">
      <c r="B149" s="39" t="str">
        <f t="shared" si="26"/>
        <v>EM-CET38*</v>
      </c>
      <c r="C149" s="100">
        <f t="shared" si="28"/>
        <v>125</v>
      </c>
      <c r="D149" s="74">
        <f t="shared" si="29"/>
        <v>142</v>
      </c>
      <c r="E149" s="101">
        <f t="shared" si="30"/>
        <v>165</v>
      </c>
      <c r="F149" s="99">
        <f t="shared" ref="F149:O149" si="32">F140</f>
        <v>0.626</v>
      </c>
      <c r="G149" s="99">
        <f t="shared" si="32"/>
        <v>9.5500000000000002E-2</v>
      </c>
      <c r="H149" s="51">
        <f t="shared" si="32"/>
        <v>0.624</v>
      </c>
      <c r="I149" s="51">
        <f t="shared" si="32"/>
        <v>0.60499999999999998</v>
      </c>
      <c r="J149" s="51">
        <f t="shared" si="32"/>
        <v>0.55800000000000005</v>
      </c>
      <c r="K149" s="99">
        <f t="shared" si="32"/>
        <v>0.626</v>
      </c>
      <c r="L149" s="99">
        <f t="shared" si="32"/>
        <v>0.115</v>
      </c>
      <c r="M149" s="51">
        <f t="shared" si="32"/>
        <v>0.63100000000000001</v>
      </c>
      <c r="N149" s="51">
        <f t="shared" si="32"/>
        <v>0.61399999999999999</v>
      </c>
      <c r="O149" s="51">
        <f t="shared" si="32"/>
        <v>0.56999999999999995</v>
      </c>
    </row>
    <row r="150" spans="2:15">
      <c r="B150" s="39" t="str">
        <f t="shared" si="26"/>
        <v>EM-CET60*</v>
      </c>
      <c r="C150" s="100">
        <f t="shared" si="28"/>
        <v>165</v>
      </c>
      <c r="D150" s="74">
        <f t="shared" si="29"/>
        <v>188</v>
      </c>
      <c r="E150" s="101">
        <f t="shared" si="30"/>
        <v>225</v>
      </c>
      <c r="F150" s="99">
        <f t="shared" ref="F150:O150" si="33">F141</f>
        <v>0.39700000000000002</v>
      </c>
      <c r="G150" s="99">
        <f t="shared" si="33"/>
        <v>9.1300000000000006E-2</v>
      </c>
      <c r="H150" s="51">
        <f t="shared" si="33"/>
        <v>0.40600000000000003</v>
      </c>
      <c r="I150" s="51">
        <f t="shared" si="33"/>
        <v>0.39700000000000002</v>
      </c>
      <c r="J150" s="51">
        <f t="shared" si="33"/>
        <v>0.372</v>
      </c>
      <c r="K150" s="99">
        <f t="shared" si="33"/>
        <v>0.39700000000000002</v>
      </c>
      <c r="L150" s="99">
        <f t="shared" si="33"/>
        <v>0.11</v>
      </c>
      <c r="M150" s="51">
        <f t="shared" si="33"/>
        <v>0.41099999999999998</v>
      </c>
      <c r="N150" s="51">
        <f t="shared" si="33"/>
        <v>0.40500000000000003</v>
      </c>
      <c r="O150" s="51">
        <f t="shared" si="33"/>
        <v>0.38400000000000001</v>
      </c>
    </row>
    <row r="151" spans="2:15">
      <c r="B151" s="39" t="str">
        <f t="shared" si="26"/>
        <v>EM-CET100*</v>
      </c>
      <c r="C151" s="100">
        <f t="shared" si="28"/>
        <v>230</v>
      </c>
      <c r="D151" s="74">
        <f t="shared" si="29"/>
        <v>262</v>
      </c>
      <c r="E151" s="101">
        <f t="shared" si="30"/>
        <v>310</v>
      </c>
      <c r="F151" s="99">
        <f t="shared" ref="F151:O151" si="34">F142</f>
        <v>0.23899999999999999</v>
      </c>
      <c r="G151" s="99">
        <f t="shared" si="34"/>
        <v>8.8099999999999998E-2</v>
      </c>
      <c r="H151" s="51">
        <f t="shared" si="34"/>
        <v>0.255</v>
      </c>
      <c r="I151" s="51">
        <f t="shared" si="34"/>
        <v>0.254</v>
      </c>
      <c r="J151" s="51">
        <f t="shared" si="34"/>
        <v>0.24399999999999999</v>
      </c>
      <c r="K151" s="99">
        <f t="shared" si="34"/>
        <v>0.23899999999999999</v>
      </c>
      <c r="L151" s="99">
        <f t="shared" si="34"/>
        <v>0.106</v>
      </c>
      <c r="M151" s="51">
        <f t="shared" si="34"/>
        <v>0.26</v>
      </c>
      <c r="N151" s="51">
        <f t="shared" si="34"/>
        <v>0.26100000000000001</v>
      </c>
      <c r="O151" s="51">
        <f t="shared" si="34"/>
        <v>0.255</v>
      </c>
    </row>
    <row r="152" spans="2:15">
      <c r="B152" s="39" t="str">
        <f t="shared" si="26"/>
        <v>EM-CET150*</v>
      </c>
      <c r="C152" s="100">
        <f t="shared" si="28"/>
        <v>310</v>
      </c>
      <c r="D152" s="74">
        <f t="shared" si="29"/>
        <v>353</v>
      </c>
      <c r="E152" s="101">
        <f t="shared" si="30"/>
        <v>400</v>
      </c>
      <c r="F152" s="99">
        <f t="shared" ref="F152:O152" si="35">F143</f>
        <v>0.159</v>
      </c>
      <c r="G152" s="99">
        <f t="shared" si="35"/>
        <v>8.4599999999999995E-2</v>
      </c>
      <c r="H152" s="51">
        <f t="shared" si="35"/>
        <v>0.17699999999999999</v>
      </c>
      <c r="I152" s="51">
        <f t="shared" si="35"/>
        <v>0.18</v>
      </c>
      <c r="J152" s="51">
        <f t="shared" si="35"/>
        <v>0.17799999999999999</v>
      </c>
      <c r="K152" s="99">
        <f t="shared" si="35"/>
        <v>0.16</v>
      </c>
      <c r="L152" s="99">
        <f t="shared" si="35"/>
        <v>0.10199999999999999</v>
      </c>
      <c r="M152" s="51">
        <f t="shared" si="35"/>
        <v>0.184</v>
      </c>
      <c r="N152" s="51">
        <f t="shared" si="35"/>
        <v>0.188</v>
      </c>
      <c r="O152" s="51">
        <f t="shared" si="35"/>
        <v>0.189</v>
      </c>
    </row>
    <row r="153" spans="2:15">
      <c r="B153" s="39" t="str">
        <f t="shared" si="26"/>
        <v>EM-CET200*</v>
      </c>
      <c r="C153" s="100">
        <f t="shared" si="28"/>
        <v>370</v>
      </c>
      <c r="D153" s="74">
        <f t="shared" si="29"/>
        <v>421</v>
      </c>
      <c r="E153" s="101">
        <f t="shared" si="30"/>
        <v>490</v>
      </c>
      <c r="F153" s="99">
        <f t="shared" ref="F153:O153" si="36">F144</f>
        <v>0.121</v>
      </c>
      <c r="G153" s="99">
        <f t="shared" si="36"/>
        <v>8.5900000000000004E-2</v>
      </c>
      <c r="H153" s="51">
        <f t="shared" si="36"/>
        <v>0.14199999999999999</v>
      </c>
      <c r="I153" s="51">
        <f t="shared" si="36"/>
        <v>0.14599999999999999</v>
      </c>
      <c r="J153" s="51">
        <f t="shared" si="36"/>
        <v>0.14799999999999999</v>
      </c>
      <c r="K153" s="99">
        <f t="shared" si="36"/>
        <v>0.121</v>
      </c>
      <c r="L153" s="99">
        <f t="shared" si="36"/>
        <v>0.10299999999999999</v>
      </c>
      <c r="M153" s="51">
        <f t="shared" si="36"/>
        <v>0.14699999999999999</v>
      </c>
      <c r="N153" s="51">
        <f t="shared" si="36"/>
        <v>0.154</v>
      </c>
      <c r="O153" s="51">
        <f t="shared" si="36"/>
        <v>0.159</v>
      </c>
    </row>
    <row r="154" spans="2:15">
      <c r="B154" s="39" t="str">
        <f t="shared" si="26"/>
        <v>EM-CET250*</v>
      </c>
      <c r="C154" s="100">
        <f t="shared" si="28"/>
        <v>435</v>
      </c>
      <c r="D154" s="74">
        <f t="shared" si="29"/>
        <v>495</v>
      </c>
      <c r="E154" s="101">
        <f t="shared" si="30"/>
        <v>565</v>
      </c>
      <c r="F154" s="99">
        <f t="shared" ref="F154:O154" si="37">F145</f>
        <v>9.8100000000000007E-2</v>
      </c>
      <c r="G154" s="99">
        <f t="shared" si="37"/>
        <v>8.3599999999999994E-2</v>
      </c>
      <c r="H154" s="51">
        <f t="shared" si="37"/>
        <v>0.11899999999999999</v>
      </c>
      <c r="I154" s="51">
        <f t="shared" si="37"/>
        <v>0.125</v>
      </c>
      <c r="J154" s="51">
        <f t="shared" si="37"/>
        <v>0.129</v>
      </c>
      <c r="K154" s="99">
        <f t="shared" si="37"/>
        <v>9.9000000000000005E-2</v>
      </c>
      <c r="L154" s="99">
        <f t="shared" si="37"/>
        <v>0.1</v>
      </c>
      <c r="M154" s="51">
        <f t="shared" si="37"/>
        <v>0.125</v>
      </c>
      <c r="N154" s="51">
        <f t="shared" si="37"/>
        <v>0.13300000000000001</v>
      </c>
      <c r="O154" s="51">
        <f t="shared" si="37"/>
        <v>0.13900000000000001</v>
      </c>
    </row>
    <row r="155" spans="2:15">
      <c r="B155" s="39" t="str">
        <f t="shared" si="26"/>
        <v>EM-CET325*</v>
      </c>
      <c r="C155" s="100">
        <f t="shared" si="28"/>
        <v>505</v>
      </c>
      <c r="D155" s="74">
        <f t="shared" si="29"/>
        <v>575</v>
      </c>
      <c r="E155" s="101">
        <f t="shared" si="30"/>
        <v>670</v>
      </c>
      <c r="F155" s="99">
        <f t="shared" ref="F155:O155" si="38">F146</f>
        <v>7.6399999999999996E-2</v>
      </c>
      <c r="G155" s="99">
        <f t="shared" si="38"/>
        <v>8.1600000000000006E-2</v>
      </c>
      <c r="H155" s="51">
        <f t="shared" si="38"/>
        <v>9.9000000000000005E-2</v>
      </c>
      <c r="I155" s="51">
        <f t="shared" si="38"/>
        <v>0.104</v>
      </c>
      <c r="J155" s="51">
        <f t="shared" si="38"/>
        <v>0.11</v>
      </c>
      <c r="K155" s="99">
        <f t="shared" si="38"/>
        <v>7.7600000000000002E-2</v>
      </c>
      <c r="L155" s="99">
        <f t="shared" si="38"/>
        <v>9.8000000000000004E-2</v>
      </c>
      <c r="M155" s="51">
        <f t="shared" si="38"/>
        <v>0.10299999999999999</v>
      </c>
      <c r="N155" s="51">
        <f t="shared" si="38"/>
        <v>0.112</v>
      </c>
      <c r="O155" s="51">
        <f t="shared" si="38"/>
        <v>0.12</v>
      </c>
    </row>
    <row r="156" spans="2:15">
      <c r="B156" s="39" t="s">
        <v>182</v>
      </c>
      <c r="C156" s="52">
        <v>19</v>
      </c>
      <c r="D156" s="74">
        <f t="shared" si="25"/>
        <v>21</v>
      </c>
      <c r="E156" s="71">
        <v>24</v>
      </c>
      <c r="F156" s="64">
        <v>11.2</v>
      </c>
      <c r="G156" s="64">
        <v>0.11799999999999999</v>
      </c>
      <c r="H156" s="42">
        <v>10.7</v>
      </c>
      <c r="I156" s="51">
        <f>ROUNDDOWN(($F156*I$7)+($G156*(SQRT(1-(I$7^2)))),3)</f>
        <v>10.131</v>
      </c>
      <c r="J156" s="51">
        <f>ROUNDDOWN(($F156*J$7)+($G156*(SQRT(1-(J$7^2)))),3)</f>
        <v>9.0299999999999994</v>
      </c>
      <c r="K156" s="64">
        <v>11.2</v>
      </c>
      <c r="L156" s="64">
        <v>0.14199999999999999</v>
      </c>
      <c r="M156" s="42">
        <v>10.7</v>
      </c>
      <c r="N156" s="51">
        <f>ROUNDDOWN(($K156*N$7)+($L156*(SQRT(1-(N$7^2)))),3)</f>
        <v>10.141</v>
      </c>
      <c r="O156" s="51">
        <f>ROUNDDOWN(($K156*O$7)+($L156*(SQRT(1-(O$7^2)))),3)</f>
        <v>9.0449999999999999</v>
      </c>
    </row>
    <row r="157" spans="2:15">
      <c r="B157" s="39" t="s">
        <v>183</v>
      </c>
      <c r="C157" s="52">
        <v>27</v>
      </c>
      <c r="D157" s="74">
        <f t="shared" si="25"/>
        <v>30</v>
      </c>
      <c r="E157" s="71">
        <v>33</v>
      </c>
      <c r="F157" s="64">
        <v>6.32</v>
      </c>
      <c r="G157" s="64">
        <v>0.104</v>
      </c>
      <c r="H157" s="42">
        <v>6.04</v>
      </c>
      <c r="I157" s="51">
        <f>ROUNDDOWN(($F157*I$7)+($G157*(SQRT(1-(I$7^2)))),3)</f>
        <v>5.7329999999999997</v>
      </c>
      <c r="J157" s="51">
        <f>ROUNDDOWN(($F157*J$7)+($G157*(SQRT(1-(J$7^2)))),3)</f>
        <v>5.1180000000000003</v>
      </c>
      <c r="K157" s="64">
        <v>6.32</v>
      </c>
      <c r="L157" s="64">
        <v>0.125</v>
      </c>
      <c r="M157" s="42">
        <v>6.05</v>
      </c>
      <c r="N157" s="51">
        <f>ROUNDDOWN(($K157*N$7)+($L157*(SQRT(1-(N$7^2)))),3)</f>
        <v>5.742</v>
      </c>
      <c r="O157" s="51">
        <f>ROUNDDOWN(($K157*O$7)+($L157*(SQRT(1-(O$7^2)))),3)</f>
        <v>5.1310000000000002</v>
      </c>
    </row>
    <row r="158" spans="2:15">
      <c r="B158" s="39" t="s">
        <v>160</v>
      </c>
      <c r="C158" s="52">
        <v>35</v>
      </c>
      <c r="D158" s="74">
        <f t="shared" si="25"/>
        <v>39</v>
      </c>
      <c r="E158" s="71">
        <v>44</v>
      </c>
      <c r="F158" s="64">
        <v>4.13</v>
      </c>
      <c r="G158" s="64">
        <v>0.10299999999999999</v>
      </c>
      <c r="H158" s="42">
        <v>3.95</v>
      </c>
      <c r="I158" s="42">
        <v>3.76</v>
      </c>
      <c r="J158" s="42">
        <v>3.36</v>
      </c>
      <c r="K158" s="64">
        <v>4.13</v>
      </c>
      <c r="L158" s="64">
        <v>0.123</v>
      </c>
      <c r="M158" s="42">
        <v>3.96</v>
      </c>
      <c r="N158" s="42">
        <v>3.77</v>
      </c>
      <c r="O158" s="42">
        <v>3.37</v>
      </c>
    </row>
    <row r="159" spans="2:15">
      <c r="B159" s="39" t="s">
        <v>161</v>
      </c>
      <c r="C159" s="52">
        <v>44</v>
      </c>
      <c r="D159" s="74">
        <f t="shared" si="25"/>
        <v>50</v>
      </c>
      <c r="E159" s="71">
        <v>56</v>
      </c>
      <c r="F159" s="64">
        <v>2.87</v>
      </c>
      <c r="G159" s="64">
        <v>9.74E-2</v>
      </c>
      <c r="H159" s="42">
        <v>2.76</v>
      </c>
      <c r="I159" s="42">
        <v>2.63</v>
      </c>
      <c r="J159" s="42">
        <v>2.36</v>
      </c>
      <c r="K159" s="64">
        <v>2.87</v>
      </c>
      <c r="L159" s="64">
        <v>0.11700000000000001</v>
      </c>
      <c r="M159" s="42">
        <v>2.77</v>
      </c>
      <c r="N159" s="42">
        <v>2.64</v>
      </c>
      <c r="O159" s="42">
        <v>2.37</v>
      </c>
    </row>
    <row r="160" spans="2:15">
      <c r="B160" s="39" t="s">
        <v>162</v>
      </c>
      <c r="C160" s="52">
        <v>60</v>
      </c>
      <c r="D160" s="74">
        <f t="shared" si="25"/>
        <v>68</v>
      </c>
      <c r="E160" s="71">
        <v>77</v>
      </c>
      <c r="F160" s="64">
        <v>1.63</v>
      </c>
      <c r="G160" s="64">
        <v>0.127</v>
      </c>
      <c r="H160" s="42">
        <v>1.59</v>
      </c>
      <c r="I160" s="42">
        <v>1.53</v>
      </c>
      <c r="J160" s="42">
        <v>1.39</v>
      </c>
      <c r="K160" s="64">
        <v>1.63</v>
      </c>
      <c r="L160" s="64">
        <v>0.152</v>
      </c>
      <c r="M160" s="42">
        <v>1.6</v>
      </c>
      <c r="N160" s="42">
        <v>1.54</v>
      </c>
      <c r="O160" s="42">
        <v>1.4</v>
      </c>
    </row>
    <row r="161" spans="2:15">
      <c r="B161" s="39" t="s">
        <v>163</v>
      </c>
      <c r="C161" s="52">
        <v>80</v>
      </c>
      <c r="D161" s="74">
        <f t="shared" si="25"/>
        <v>91</v>
      </c>
      <c r="E161" s="71">
        <v>100</v>
      </c>
      <c r="F161" s="64">
        <v>1.03</v>
      </c>
      <c r="G161" s="64">
        <v>0.121</v>
      </c>
      <c r="H161" s="42">
        <v>1.02</v>
      </c>
      <c r="I161" s="42">
        <v>0.98</v>
      </c>
      <c r="J161" s="42">
        <v>0.89700000000000002</v>
      </c>
      <c r="K161" s="64">
        <v>1.03</v>
      </c>
      <c r="L161" s="64">
        <v>0.14599999999999999</v>
      </c>
      <c r="M161" s="42">
        <v>1.03</v>
      </c>
      <c r="N161" s="42">
        <v>0.99099999999999999</v>
      </c>
      <c r="O161" s="42">
        <v>0.91200000000000003</v>
      </c>
    </row>
    <row r="162" spans="2:15">
      <c r="B162" s="39" t="s">
        <v>164</v>
      </c>
      <c r="C162" s="52">
        <v>115</v>
      </c>
      <c r="D162" s="74">
        <f t="shared" si="25"/>
        <v>131</v>
      </c>
      <c r="E162" s="71">
        <v>145</v>
      </c>
      <c r="F162" s="64">
        <v>0.59699999999999998</v>
      </c>
      <c r="G162" s="64">
        <v>0.112</v>
      </c>
      <c r="H162" s="42">
        <v>0.60299999999999998</v>
      </c>
      <c r="I162" s="42">
        <v>0.58699999999999997</v>
      </c>
      <c r="J162" s="42">
        <v>0.54500000000000004</v>
      </c>
      <c r="K162" s="64">
        <v>0.59799999999999998</v>
      </c>
      <c r="L162" s="64">
        <v>0.13500000000000001</v>
      </c>
      <c r="M162" s="42">
        <v>0.61099999999999999</v>
      </c>
      <c r="N162" s="42">
        <v>0.59799999999999998</v>
      </c>
      <c r="O162" s="42">
        <v>0.56000000000000005</v>
      </c>
    </row>
    <row r="163" spans="2:15">
      <c r="B163" s="39" t="s">
        <v>165</v>
      </c>
      <c r="C163" s="52">
        <v>150</v>
      </c>
      <c r="D163" s="74">
        <f t="shared" si="25"/>
        <v>171</v>
      </c>
      <c r="E163" s="71">
        <v>195</v>
      </c>
      <c r="F163" s="64">
        <v>0.379</v>
      </c>
      <c r="G163" s="64">
        <v>0.108</v>
      </c>
      <c r="H163" s="42">
        <v>0.39400000000000002</v>
      </c>
      <c r="I163" s="42">
        <v>0.38900000000000001</v>
      </c>
      <c r="J163" s="42">
        <v>0.36799999999999999</v>
      </c>
      <c r="K163" s="64">
        <v>0.379</v>
      </c>
      <c r="L163" s="64">
        <v>0.13</v>
      </c>
      <c r="M163" s="42">
        <v>0.40100000000000002</v>
      </c>
      <c r="N163" s="42">
        <v>0.39800000000000002</v>
      </c>
      <c r="O163" s="42">
        <v>0.38200000000000001</v>
      </c>
    </row>
    <row r="164" spans="2:15">
      <c r="B164" s="39" t="s">
        <v>166</v>
      </c>
      <c r="C164" s="52">
        <v>210</v>
      </c>
      <c r="D164" s="74">
        <f t="shared" si="25"/>
        <v>239</v>
      </c>
      <c r="E164" s="71">
        <v>265</v>
      </c>
      <c r="F164" s="64">
        <v>0.22800000000000001</v>
      </c>
      <c r="G164" s="64">
        <v>0.105</v>
      </c>
      <c r="H164" s="42">
        <v>0.25</v>
      </c>
      <c r="I164" s="42">
        <v>0.251</v>
      </c>
      <c r="J164" s="42">
        <v>0.246</v>
      </c>
      <c r="K164" s="64">
        <v>0.22900000000000001</v>
      </c>
      <c r="L164" s="64">
        <v>0.126</v>
      </c>
      <c r="M164" s="42">
        <v>0.25700000000000001</v>
      </c>
      <c r="N164" s="42">
        <v>0.26200000000000001</v>
      </c>
      <c r="O164" s="42">
        <v>0.25900000000000001</v>
      </c>
    </row>
    <row r="165" spans="2:15">
      <c r="B165" s="39" t="s">
        <v>167</v>
      </c>
      <c r="C165" s="52">
        <v>275</v>
      </c>
      <c r="D165" s="74">
        <f t="shared" si="25"/>
        <v>313</v>
      </c>
      <c r="E165" s="71">
        <v>345</v>
      </c>
      <c r="F165" s="64">
        <v>0.152</v>
      </c>
      <c r="G165" s="64">
        <v>0.10100000000000001</v>
      </c>
      <c r="H165" s="42">
        <v>0.17599999999999999</v>
      </c>
      <c r="I165" s="42">
        <v>0.18099999999999999</v>
      </c>
      <c r="J165" s="42">
        <v>0.183</v>
      </c>
      <c r="K165" s="64">
        <v>0.153</v>
      </c>
      <c r="L165" s="64">
        <v>0.122</v>
      </c>
      <c r="M165" s="42">
        <v>0.184</v>
      </c>
      <c r="N165" s="42">
        <v>0.191</v>
      </c>
      <c r="O165" s="42">
        <v>0.19600000000000001</v>
      </c>
    </row>
    <row r="166" spans="2:15">
      <c r="B166" s="39" t="s">
        <v>168</v>
      </c>
      <c r="C166" s="52">
        <v>335</v>
      </c>
      <c r="D166" s="74">
        <f t="shared" si="25"/>
        <v>381</v>
      </c>
      <c r="E166" s="71">
        <v>415</v>
      </c>
      <c r="F166" s="64">
        <v>0.115</v>
      </c>
      <c r="G166" s="64">
        <v>0.10100000000000001</v>
      </c>
      <c r="H166" s="42">
        <v>0.14099999999999999</v>
      </c>
      <c r="I166" s="42">
        <v>0.14799999999999999</v>
      </c>
      <c r="J166" s="42">
        <v>0.153</v>
      </c>
      <c r="K166" s="64">
        <v>0.11600000000000001</v>
      </c>
      <c r="L166" s="64">
        <v>0.121</v>
      </c>
      <c r="M166" s="42">
        <v>0.14799999999999999</v>
      </c>
      <c r="N166" s="42">
        <v>0.158</v>
      </c>
      <c r="O166" s="42">
        <v>0.16600000000000001</v>
      </c>
    </row>
    <row r="167" spans="2:15">
      <c r="B167" s="39" t="s">
        <v>169</v>
      </c>
      <c r="C167" s="52">
        <v>385</v>
      </c>
      <c r="D167" s="74">
        <f t="shared" si="25"/>
        <v>438</v>
      </c>
      <c r="E167" s="71">
        <v>475</v>
      </c>
      <c r="F167" s="64">
        <v>9.4200000000000006E-2</v>
      </c>
      <c r="G167" s="64">
        <v>9.9099999999999994E-2</v>
      </c>
      <c r="H167" s="42">
        <v>0.121</v>
      </c>
      <c r="I167" s="42">
        <v>0.128</v>
      </c>
      <c r="J167" s="42">
        <v>0.13500000000000001</v>
      </c>
      <c r="K167" s="64">
        <v>9.5200000000000007E-2</v>
      </c>
      <c r="L167" s="64">
        <v>0.11899999999999999</v>
      </c>
      <c r="M167" s="42">
        <v>0.128</v>
      </c>
      <c r="N167" s="42">
        <v>0.13800000000000001</v>
      </c>
      <c r="O167" s="42">
        <v>0.14799999999999999</v>
      </c>
    </row>
    <row r="168" spans="2:15">
      <c r="B168" s="39" t="s">
        <v>170</v>
      </c>
      <c r="C168" s="52">
        <v>460</v>
      </c>
      <c r="D168" s="74">
        <f t="shared" si="25"/>
        <v>524</v>
      </c>
      <c r="E168" s="71">
        <v>565</v>
      </c>
      <c r="F168" s="64">
        <v>7.3700000000000002E-2</v>
      </c>
      <c r="G168" s="64">
        <v>9.6799999999999997E-2</v>
      </c>
      <c r="H168" s="42">
        <v>0.10100000000000001</v>
      </c>
      <c r="I168" s="42">
        <v>0.109</v>
      </c>
      <c r="J168" s="42">
        <v>0.11799999999999999</v>
      </c>
      <c r="K168" s="64">
        <v>7.51E-2</v>
      </c>
      <c r="L168" s="64">
        <v>0.11600000000000001</v>
      </c>
      <c r="M168" s="42">
        <v>0.108</v>
      </c>
      <c r="N168" s="42">
        <v>0.11899999999999999</v>
      </c>
      <c r="O168" s="42">
        <v>0.13</v>
      </c>
    </row>
    <row r="169" spans="2:15">
      <c r="B169" s="39" t="s">
        <v>184</v>
      </c>
      <c r="C169" s="52">
        <v>16</v>
      </c>
      <c r="D169" s="74">
        <f t="shared" si="25"/>
        <v>18</v>
      </c>
      <c r="E169" s="71">
        <v>20</v>
      </c>
      <c r="F169" s="64">
        <v>11.2</v>
      </c>
      <c r="G169" s="64">
        <v>0.13300000000000001</v>
      </c>
      <c r="H169" s="42">
        <v>10.7</v>
      </c>
      <c r="I169" s="51">
        <f>ROUNDDOWN(($F169*I$7)+($G169*(SQRT(1-(I$7^2)))),3)</f>
        <v>10.137</v>
      </c>
      <c r="J169" s="51">
        <f>ROUNDDOWN(($F169*J$7)+($G169*(SQRT(1-(J$7^2)))),3)</f>
        <v>9.0389999999999997</v>
      </c>
      <c r="K169" s="64">
        <v>11.2</v>
      </c>
      <c r="L169" s="64">
        <v>0.159</v>
      </c>
      <c r="M169" s="42">
        <v>10.7</v>
      </c>
      <c r="N169" s="51">
        <f>ROUNDDOWN(($K169*N$7)+($L169*(SQRT(1-(N$7^2)))),3)</f>
        <v>10.148999999999999</v>
      </c>
      <c r="O169" s="51">
        <f>ROUNDDOWN(($K169*O$7)+($L169*(SQRT(1-(O$7^2)))),3)</f>
        <v>9.0549999999999997</v>
      </c>
    </row>
    <row r="170" spans="2:15">
      <c r="B170" s="39" t="s">
        <v>185</v>
      </c>
      <c r="C170" s="52">
        <v>22</v>
      </c>
      <c r="D170" s="74">
        <f t="shared" si="25"/>
        <v>25</v>
      </c>
      <c r="E170" s="71">
        <v>28</v>
      </c>
      <c r="F170" s="64">
        <v>6.32</v>
      </c>
      <c r="G170" s="64">
        <v>0.11899999999999999</v>
      </c>
      <c r="H170" s="42">
        <v>6.05</v>
      </c>
      <c r="I170" s="51">
        <f>ROUNDDOWN(($F170*I$7)+($G170*(SQRT(1-(I$7^2)))),3)</f>
        <v>5.7389999999999999</v>
      </c>
      <c r="J170" s="51">
        <f>ROUNDDOWN(($F170*J$7)+($G170*(SQRT(1-(J$7^2)))),3)</f>
        <v>5.1269999999999998</v>
      </c>
      <c r="K170" s="64">
        <v>6.32</v>
      </c>
      <c r="L170" s="64">
        <v>0.14199999999999999</v>
      </c>
      <c r="M170" s="42">
        <v>6.05</v>
      </c>
      <c r="N170" s="51">
        <f>ROUNDDOWN(($K170*N$7)+($L170*(SQRT(1-(N$7^2)))),3)</f>
        <v>5.7489999999999997</v>
      </c>
      <c r="O170" s="51">
        <f>ROUNDDOWN(($K170*O$7)+($L170*(SQRT(1-(O$7^2)))),3)</f>
        <v>5.141</v>
      </c>
    </row>
    <row r="171" spans="2:15">
      <c r="B171" s="39" t="s">
        <v>171</v>
      </c>
      <c r="C171" s="52">
        <v>30</v>
      </c>
      <c r="D171" s="74">
        <f t="shared" si="25"/>
        <v>34</v>
      </c>
      <c r="E171" s="71">
        <v>37</v>
      </c>
      <c r="F171" s="64">
        <v>4.13</v>
      </c>
      <c r="G171" s="64">
        <v>0.10299999999999999</v>
      </c>
      <c r="H171" s="42">
        <v>3.95</v>
      </c>
      <c r="I171" s="42">
        <v>3.76</v>
      </c>
      <c r="J171" s="42">
        <v>3.36</v>
      </c>
      <c r="K171" s="64">
        <v>4.13</v>
      </c>
      <c r="L171" s="64">
        <v>0.123</v>
      </c>
      <c r="M171" s="42">
        <v>3.96</v>
      </c>
      <c r="N171" s="42">
        <v>3.77</v>
      </c>
      <c r="O171" s="42">
        <v>3.37</v>
      </c>
    </row>
    <row r="172" spans="2:15">
      <c r="B172" s="39" t="s">
        <v>172</v>
      </c>
      <c r="C172" s="52">
        <v>37</v>
      </c>
      <c r="D172" s="74">
        <f t="shared" ref="D172:D202" si="39">ROUNDDOWN(C172*1.14,0)</f>
        <v>42</v>
      </c>
      <c r="E172" s="71">
        <v>47</v>
      </c>
      <c r="F172" s="64">
        <v>2.87</v>
      </c>
      <c r="G172" s="64">
        <v>9.74E-2</v>
      </c>
      <c r="H172" s="42">
        <v>2.76</v>
      </c>
      <c r="I172" s="42">
        <v>2.63</v>
      </c>
      <c r="J172" s="42">
        <v>2.36</v>
      </c>
      <c r="K172" s="64">
        <v>2.87</v>
      </c>
      <c r="L172" s="64">
        <v>0.11700000000000001</v>
      </c>
      <c r="M172" s="42">
        <v>2.77</v>
      </c>
      <c r="N172" s="42">
        <v>2.64</v>
      </c>
      <c r="O172" s="42">
        <v>2.37</v>
      </c>
    </row>
    <row r="173" spans="2:15">
      <c r="B173" s="39" t="s">
        <v>173</v>
      </c>
      <c r="C173" s="52">
        <v>50</v>
      </c>
      <c r="D173" s="74">
        <f t="shared" si="39"/>
        <v>57</v>
      </c>
      <c r="E173" s="71">
        <v>65</v>
      </c>
      <c r="F173" s="64">
        <v>1.63</v>
      </c>
      <c r="G173" s="64">
        <v>0.127</v>
      </c>
      <c r="H173" s="42">
        <v>1.59</v>
      </c>
      <c r="I173" s="42">
        <v>1.53</v>
      </c>
      <c r="J173" s="42">
        <v>1.39</v>
      </c>
      <c r="K173" s="64">
        <v>1.63</v>
      </c>
      <c r="L173" s="64">
        <v>0.152</v>
      </c>
      <c r="M173" s="42">
        <v>1.6</v>
      </c>
      <c r="N173" s="42">
        <v>1.54</v>
      </c>
      <c r="O173" s="42">
        <v>1.4</v>
      </c>
    </row>
    <row r="174" spans="2:15">
      <c r="B174" s="39" t="s">
        <v>174</v>
      </c>
      <c r="C174" s="52">
        <v>66</v>
      </c>
      <c r="D174" s="74">
        <f t="shared" si="39"/>
        <v>75</v>
      </c>
      <c r="E174" s="71">
        <v>87</v>
      </c>
      <c r="F174" s="64">
        <v>1.03</v>
      </c>
      <c r="G174" s="64">
        <v>0.121</v>
      </c>
      <c r="H174" s="42">
        <v>1.02</v>
      </c>
      <c r="I174" s="42">
        <v>0.98</v>
      </c>
      <c r="J174" s="42">
        <v>0.89700000000000002</v>
      </c>
      <c r="K174" s="64">
        <v>1.03</v>
      </c>
      <c r="L174" s="64">
        <v>0.14599999999999999</v>
      </c>
      <c r="M174" s="42">
        <v>1.03</v>
      </c>
      <c r="N174" s="42">
        <v>0.99099999999999999</v>
      </c>
      <c r="O174" s="42">
        <v>0.91200000000000003</v>
      </c>
    </row>
    <row r="175" spans="2:15">
      <c r="B175" s="39" t="s">
        <v>175</v>
      </c>
      <c r="C175" s="52">
        <v>96</v>
      </c>
      <c r="D175" s="74">
        <f t="shared" si="39"/>
        <v>109</v>
      </c>
      <c r="E175" s="71">
        <v>120</v>
      </c>
      <c r="F175" s="64">
        <v>0.59699999999999998</v>
      </c>
      <c r="G175" s="64">
        <v>0.112</v>
      </c>
      <c r="H175" s="42">
        <v>0.60299999999999998</v>
      </c>
      <c r="I175" s="42">
        <v>0.58699999999999997</v>
      </c>
      <c r="J175" s="42">
        <v>0.54500000000000004</v>
      </c>
      <c r="K175" s="64">
        <v>0.59799999999999998</v>
      </c>
      <c r="L175" s="64">
        <v>0.13500000000000001</v>
      </c>
      <c r="M175" s="42">
        <v>0.61099999999999999</v>
      </c>
      <c r="N175" s="42">
        <v>0.59799999999999998</v>
      </c>
      <c r="O175" s="42">
        <v>0.56000000000000005</v>
      </c>
    </row>
    <row r="176" spans="2:15">
      <c r="B176" s="39" t="s">
        <v>176</v>
      </c>
      <c r="C176" s="52">
        <v>130</v>
      </c>
      <c r="D176" s="74">
        <f t="shared" si="39"/>
        <v>148</v>
      </c>
      <c r="E176" s="71">
        <v>160</v>
      </c>
      <c r="F176" s="64">
        <v>0.379</v>
      </c>
      <c r="G176" s="64">
        <v>0.108</v>
      </c>
      <c r="H176" s="42">
        <v>0.39400000000000002</v>
      </c>
      <c r="I176" s="42">
        <v>0.38900000000000001</v>
      </c>
      <c r="J176" s="42">
        <v>0.36799999999999999</v>
      </c>
      <c r="K176" s="64">
        <v>0.379</v>
      </c>
      <c r="L176" s="64">
        <v>0.13</v>
      </c>
      <c r="M176" s="42">
        <v>0.40100000000000002</v>
      </c>
      <c r="N176" s="42">
        <v>0.39800000000000002</v>
      </c>
      <c r="O176" s="42">
        <v>0.38200000000000001</v>
      </c>
    </row>
    <row r="177" spans="2:15">
      <c r="B177" s="39" t="s">
        <v>177</v>
      </c>
      <c r="C177" s="52">
        <v>180</v>
      </c>
      <c r="D177" s="74">
        <f t="shared" si="39"/>
        <v>205</v>
      </c>
      <c r="E177" s="71">
        <v>220</v>
      </c>
      <c r="F177" s="64">
        <v>0.22800000000000001</v>
      </c>
      <c r="G177" s="64">
        <v>0.105</v>
      </c>
      <c r="H177" s="42">
        <v>0.25</v>
      </c>
      <c r="I177" s="42">
        <v>0.251</v>
      </c>
      <c r="J177" s="42">
        <v>0.246</v>
      </c>
      <c r="K177" s="64">
        <v>0.22900000000000001</v>
      </c>
      <c r="L177" s="64">
        <v>0.126</v>
      </c>
      <c r="M177" s="42">
        <v>0.25700000000000001</v>
      </c>
      <c r="N177" s="42">
        <v>0.26200000000000001</v>
      </c>
      <c r="O177" s="42">
        <v>0.25900000000000001</v>
      </c>
    </row>
    <row r="178" spans="2:15">
      <c r="B178" s="39" t="s">
        <v>178</v>
      </c>
      <c r="C178" s="52">
        <v>230</v>
      </c>
      <c r="D178" s="74">
        <f t="shared" si="39"/>
        <v>262</v>
      </c>
      <c r="E178" s="71">
        <v>290</v>
      </c>
      <c r="F178" s="64">
        <v>0.152</v>
      </c>
      <c r="G178" s="64">
        <v>0.10100000000000001</v>
      </c>
      <c r="H178" s="42">
        <v>0.17599999999999999</v>
      </c>
      <c r="I178" s="42">
        <v>0.18099999999999999</v>
      </c>
      <c r="J178" s="42">
        <v>0.183</v>
      </c>
      <c r="K178" s="64">
        <v>0.153</v>
      </c>
      <c r="L178" s="64">
        <v>0.122</v>
      </c>
      <c r="M178" s="42">
        <v>0.184</v>
      </c>
      <c r="N178" s="42">
        <v>0.191</v>
      </c>
      <c r="O178" s="42">
        <v>0.19600000000000001</v>
      </c>
    </row>
    <row r="179" spans="2:15">
      <c r="B179" s="39" t="s">
        <v>179</v>
      </c>
      <c r="C179" s="52">
        <v>285</v>
      </c>
      <c r="D179" s="74">
        <f t="shared" si="39"/>
        <v>324</v>
      </c>
      <c r="E179" s="71">
        <v>350</v>
      </c>
      <c r="F179" s="64">
        <v>0.115</v>
      </c>
      <c r="G179" s="64">
        <v>0.10100000000000001</v>
      </c>
      <c r="H179" s="42">
        <v>0.14099999999999999</v>
      </c>
      <c r="I179" s="42">
        <v>0.14799999999999999</v>
      </c>
      <c r="J179" s="42">
        <v>0.153</v>
      </c>
      <c r="K179" s="64">
        <v>0.11600000000000001</v>
      </c>
      <c r="L179" s="64">
        <v>0.121</v>
      </c>
      <c r="M179" s="42">
        <v>0.14799999999999999</v>
      </c>
      <c r="N179" s="42">
        <v>0.158</v>
      </c>
      <c r="O179" s="42">
        <v>0.16600000000000001</v>
      </c>
    </row>
    <row r="180" spans="2:15">
      <c r="B180" s="39" t="s">
        <v>180</v>
      </c>
      <c r="C180" s="52">
        <v>325</v>
      </c>
      <c r="D180" s="74">
        <f t="shared" si="39"/>
        <v>370</v>
      </c>
      <c r="E180" s="71">
        <v>405</v>
      </c>
      <c r="F180" s="64">
        <v>9.4200000000000006E-2</v>
      </c>
      <c r="G180" s="64">
        <v>9.9099999999999994E-2</v>
      </c>
      <c r="H180" s="42">
        <v>0.121</v>
      </c>
      <c r="I180" s="42">
        <v>0.128</v>
      </c>
      <c r="J180" s="42">
        <v>0.13500000000000001</v>
      </c>
      <c r="K180" s="64">
        <v>9.5200000000000007E-2</v>
      </c>
      <c r="L180" s="64">
        <v>0.11899999999999999</v>
      </c>
      <c r="M180" s="42">
        <v>0.128</v>
      </c>
      <c r="N180" s="42">
        <v>0.13800000000000001</v>
      </c>
      <c r="O180" s="42">
        <v>0.14799999999999999</v>
      </c>
    </row>
    <row r="181" spans="2:15">
      <c r="B181" s="39" t="s">
        <v>181</v>
      </c>
      <c r="C181" s="52">
        <v>385</v>
      </c>
      <c r="D181" s="74">
        <f t="shared" si="39"/>
        <v>438</v>
      </c>
      <c r="E181" s="71">
        <v>475</v>
      </c>
      <c r="F181" s="64">
        <v>7.3700000000000002E-2</v>
      </c>
      <c r="G181" s="64">
        <v>9.6799999999999997E-2</v>
      </c>
      <c r="H181" s="42">
        <v>0.10100000000000001</v>
      </c>
      <c r="I181" s="42">
        <v>0.109</v>
      </c>
      <c r="J181" s="42">
        <v>0.11799999999999999</v>
      </c>
      <c r="K181" s="64">
        <v>7.51E-2</v>
      </c>
      <c r="L181" s="64">
        <v>0.11600000000000001</v>
      </c>
      <c r="M181" s="42">
        <v>0.108</v>
      </c>
      <c r="N181" s="42">
        <v>0.11899999999999999</v>
      </c>
      <c r="O181" s="42">
        <v>0.13</v>
      </c>
    </row>
    <row r="182" spans="2:15">
      <c r="B182" s="39" t="str">
        <f>B169&amp;"*"</f>
        <v>EM-FP-C2-3C*</v>
      </c>
      <c r="C182" s="100">
        <f>C156</f>
        <v>19</v>
      </c>
      <c r="D182" s="74">
        <f t="shared" si="39"/>
        <v>21</v>
      </c>
      <c r="E182" s="101">
        <f>E156</f>
        <v>24</v>
      </c>
      <c r="F182" s="99">
        <f t="shared" ref="F182:O182" si="40">F169</f>
        <v>11.2</v>
      </c>
      <c r="G182" s="99">
        <f t="shared" si="40"/>
        <v>0.13300000000000001</v>
      </c>
      <c r="H182" s="51">
        <f t="shared" si="40"/>
        <v>10.7</v>
      </c>
      <c r="I182" s="51">
        <f t="shared" si="40"/>
        <v>10.137</v>
      </c>
      <c r="J182" s="51">
        <f t="shared" si="40"/>
        <v>9.0389999999999997</v>
      </c>
      <c r="K182" s="99">
        <f t="shared" si="40"/>
        <v>11.2</v>
      </c>
      <c r="L182" s="99">
        <f t="shared" si="40"/>
        <v>0.159</v>
      </c>
      <c r="M182" s="51">
        <f t="shared" si="40"/>
        <v>10.7</v>
      </c>
      <c r="N182" s="51">
        <f t="shared" si="40"/>
        <v>10.148999999999999</v>
      </c>
      <c r="O182" s="51">
        <f t="shared" si="40"/>
        <v>9.0549999999999997</v>
      </c>
    </row>
    <row r="183" spans="2:15">
      <c r="B183" s="39" t="str">
        <f t="shared" ref="B183:B194" si="41">B170&amp;"*"</f>
        <v>EM-FP-C3.5-3C*</v>
      </c>
      <c r="C183" s="100">
        <f t="shared" ref="C183:C194" si="42">C157</f>
        <v>27</v>
      </c>
      <c r="D183" s="74">
        <f t="shared" ref="D183:D194" si="43">ROUNDDOWN(C183*1.14,0)</f>
        <v>30</v>
      </c>
      <c r="E183" s="101">
        <f t="shared" ref="E183:E194" si="44">E157</f>
        <v>33</v>
      </c>
      <c r="F183" s="99">
        <f t="shared" ref="F183:O183" si="45">F170</f>
        <v>6.32</v>
      </c>
      <c r="G183" s="99">
        <f t="shared" si="45"/>
        <v>0.11899999999999999</v>
      </c>
      <c r="H183" s="51">
        <f t="shared" si="45"/>
        <v>6.05</v>
      </c>
      <c r="I183" s="51">
        <f t="shared" si="45"/>
        <v>5.7389999999999999</v>
      </c>
      <c r="J183" s="51">
        <f t="shared" si="45"/>
        <v>5.1269999999999998</v>
      </c>
      <c r="K183" s="99">
        <f t="shared" si="45"/>
        <v>6.32</v>
      </c>
      <c r="L183" s="99">
        <f t="shared" si="45"/>
        <v>0.14199999999999999</v>
      </c>
      <c r="M183" s="51">
        <f t="shared" si="45"/>
        <v>6.05</v>
      </c>
      <c r="N183" s="51">
        <f t="shared" si="45"/>
        <v>5.7489999999999997</v>
      </c>
      <c r="O183" s="51">
        <f t="shared" si="45"/>
        <v>5.141</v>
      </c>
    </row>
    <row r="184" spans="2:15">
      <c r="B184" s="39" t="str">
        <f t="shared" si="41"/>
        <v>EM-FP-C5.5-3C*</v>
      </c>
      <c r="C184" s="100">
        <f t="shared" si="42"/>
        <v>35</v>
      </c>
      <c r="D184" s="74">
        <f t="shared" si="43"/>
        <v>39</v>
      </c>
      <c r="E184" s="101">
        <f t="shared" si="44"/>
        <v>44</v>
      </c>
      <c r="F184" s="99">
        <f t="shared" ref="F184:O184" si="46">F171</f>
        <v>4.13</v>
      </c>
      <c r="G184" s="99">
        <f t="shared" si="46"/>
        <v>0.10299999999999999</v>
      </c>
      <c r="H184" s="51">
        <f t="shared" si="46"/>
        <v>3.95</v>
      </c>
      <c r="I184" s="51">
        <f t="shared" si="46"/>
        <v>3.76</v>
      </c>
      <c r="J184" s="51">
        <f t="shared" si="46"/>
        <v>3.36</v>
      </c>
      <c r="K184" s="99">
        <f t="shared" si="46"/>
        <v>4.13</v>
      </c>
      <c r="L184" s="99">
        <f t="shared" si="46"/>
        <v>0.123</v>
      </c>
      <c r="M184" s="51">
        <f t="shared" si="46"/>
        <v>3.96</v>
      </c>
      <c r="N184" s="51">
        <f t="shared" si="46"/>
        <v>3.77</v>
      </c>
      <c r="O184" s="51">
        <f t="shared" si="46"/>
        <v>3.37</v>
      </c>
    </row>
    <row r="185" spans="2:15">
      <c r="B185" s="39" t="str">
        <f t="shared" si="41"/>
        <v>EM-FP-C8-3C*</v>
      </c>
      <c r="C185" s="100">
        <f t="shared" si="42"/>
        <v>44</v>
      </c>
      <c r="D185" s="74">
        <f t="shared" si="43"/>
        <v>50</v>
      </c>
      <c r="E185" s="101">
        <f t="shared" si="44"/>
        <v>56</v>
      </c>
      <c r="F185" s="99">
        <f t="shared" ref="F185:O185" si="47">F172</f>
        <v>2.87</v>
      </c>
      <c r="G185" s="99">
        <f t="shared" si="47"/>
        <v>9.74E-2</v>
      </c>
      <c r="H185" s="51">
        <f t="shared" si="47"/>
        <v>2.76</v>
      </c>
      <c r="I185" s="51">
        <f t="shared" si="47"/>
        <v>2.63</v>
      </c>
      <c r="J185" s="51">
        <f t="shared" si="47"/>
        <v>2.36</v>
      </c>
      <c r="K185" s="99">
        <f t="shared" si="47"/>
        <v>2.87</v>
      </c>
      <c r="L185" s="99">
        <f t="shared" si="47"/>
        <v>0.11700000000000001</v>
      </c>
      <c r="M185" s="51">
        <f t="shared" si="47"/>
        <v>2.77</v>
      </c>
      <c r="N185" s="51">
        <f t="shared" si="47"/>
        <v>2.64</v>
      </c>
      <c r="O185" s="51">
        <f t="shared" si="47"/>
        <v>2.37</v>
      </c>
    </row>
    <row r="186" spans="2:15">
      <c r="B186" s="39" t="str">
        <f t="shared" si="41"/>
        <v>EM-FP-C14-3C*</v>
      </c>
      <c r="C186" s="100">
        <f t="shared" si="42"/>
        <v>60</v>
      </c>
      <c r="D186" s="74">
        <f t="shared" si="43"/>
        <v>68</v>
      </c>
      <c r="E186" s="101">
        <f t="shared" si="44"/>
        <v>77</v>
      </c>
      <c r="F186" s="99">
        <f t="shared" ref="F186:O186" si="48">F173</f>
        <v>1.63</v>
      </c>
      <c r="G186" s="99">
        <f t="shared" si="48"/>
        <v>0.127</v>
      </c>
      <c r="H186" s="51">
        <f t="shared" si="48"/>
        <v>1.59</v>
      </c>
      <c r="I186" s="51">
        <f t="shared" si="48"/>
        <v>1.53</v>
      </c>
      <c r="J186" s="51">
        <f t="shared" si="48"/>
        <v>1.39</v>
      </c>
      <c r="K186" s="99">
        <f t="shared" si="48"/>
        <v>1.63</v>
      </c>
      <c r="L186" s="99">
        <f t="shared" si="48"/>
        <v>0.152</v>
      </c>
      <c r="M186" s="51">
        <f t="shared" si="48"/>
        <v>1.6</v>
      </c>
      <c r="N186" s="51">
        <f t="shared" si="48"/>
        <v>1.54</v>
      </c>
      <c r="O186" s="51">
        <f t="shared" si="48"/>
        <v>1.4</v>
      </c>
    </row>
    <row r="187" spans="2:15">
      <c r="B187" s="39" t="str">
        <f t="shared" si="41"/>
        <v>EM-FP-C22-3C*</v>
      </c>
      <c r="C187" s="100">
        <f t="shared" si="42"/>
        <v>80</v>
      </c>
      <c r="D187" s="74">
        <f t="shared" si="43"/>
        <v>91</v>
      </c>
      <c r="E187" s="101">
        <f t="shared" si="44"/>
        <v>100</v>
      </c>
      <c r="F187" s="99">
        <f t="shared" ref="F187:O187" si="49">F174</f>
        <v>1.03</v>
      </c>
      <c r="G187" s="99">
        <f t="shared" si="49"/>
        <v>0.121</v>
      </c>
      <c r="H187" s="51">
        <f t="shared" si="49"/>
        <v>1.02</v>
      </c>
      <c r="I187" s="51">
        <f t="shared" si="49"/>
        <v>0.98</v>
      </c>
      <c r="J187" s="51">
        <f t="shared" si="49"/>
        <v>0.89700000000000002</v>
      </c>
      <c r="K187" s="99">
        <f t="shared" si="49"/>
        <v>1.03</v>
      </c>
      <c r="L187" s="99">
        <f t="shared" si="49"/>
        <v>0.14599999999999999</v>
      </c>
      <c r="M187" s="51">
        <f t="shared" si="49"/>
        <v>1.03</v>
      </c>
      <c r="N187" s="51">
        <f t="shared" si="49"/>
        <v>0.99099999999999999</v>
      </c>
      <c r="O187" s="51">
        <f t="shared" si="49"/>
        <v>0.91200000000000003</v>
      </c>
    </row>
    <row r="188" spans="2:15">
      <c r="B188" s="39" t="str">
        <f t="shared" si="41"/>
        <v>EM-FP-C38-3C*</v>
      </c>
      <c r="C188" s="100">
        <f t="shared" si="42"/>
        <v>115</v>
      </c>
      <c r="D188" s="74">
        <f t="shared" si="43"/>
        <v>131</v>
      </c>
      <c r="E188" s="101">
        <f t="shared" si="44"/>
        <v>145</v>
      </c>
      <c r="F188" s="99">
        <f t="shared" ref="F188:O188" si="50">F175</f>
        <v>0.59699999999999998</v>
      </c>
      <c r="G188" s="99">
        <f t="shared" si="50"/>
        <v>0.112</v>
      </c>
      <c r="H188" s="51">
        <f t="shared" si="50"/>
        <v>0.60299999999999998</v>
      </c>
      <c r="I188" s="51">
        <f t="shared" si="50"/>
        <v>0.58699999999999997</v>
      </c>
      <c r="J188" s="51">
        <f t="shared" si="50"/>
        <v>0.54500000000000004</v>
      </c>
      <c r="K188" s="99">
        <f t="shared" si="50"/>
        <v>0.59799999999999998</v>
      </c>
      <c r="L188" s="99">
        <f t="shared" si="50"/>
        <v>0.13500000000000001</v>
      </c>
      <c r="M188" s="51">
        <f t="shared" si="50"/>
        <v>0.61099999999999999</v>
      </c>
      <c r="N188" s="51">
        <f t="shared" si="50"/>
        <v>0.59799999999999998</v>
      </c>
      <c r="O188" s="51">
        <f t="shared" si="50"/>
        <v>0.56000000000000005</v>
      </c>
    </row>
    <row r="189" spans="2:15">
      <c r="B189" s="39" t="str">
        <f t="shared" si="41"/>
        <v>EM-FP-C60-3C*</v>
      </c>
      <c r="C189" s="100">
        <f t="shared" si="42"/>
        <v>150</v>
      </c>
      <c r="D189" s="74">
        <f t="shared" si="43"/>
        <v>171</v>
      </c>
      <c r="E189" s="101">
        <f t="shared" si="44"/>
        <v>195</v>
      </c>
      <c r="F189" s="99">
        <f t="shared" ref="F189:O189" si="51">F176</f>
        <v>0.379</v>
      </c>
      <c r="G189" s="99">
        <f t="shared" si="51"/>
        <v>0.108</v>
      </c>
      <c r="H189" s="51">
        <f t="shared" si="51"/>
        <v>0.39400000000000002</v>
      </c>
      <c r="I189" s="51">
        <f t="shared" si="51"/>
        <v>0.38900000000000001</v>
      </c>
      <c r="J189" s="51">
        <f t="shared" si="51"/>
        <v>0.36799999999999999</v>
      </c>
      <c r="K189" s="99">
        <f t="shared" si="51"/>
        <v>0.379</v>
      </c>
      <c r="L189" s="99">
        <f t="shared" si="51"/>
        <v>0.13</v>
      </c>
      <c r="M189" s="51">
        <f t="shared" si="51"/>
        <v>0.40100000000000002</v>
      </c>
      <c r="N189" s="51">
        <f t="shared" si="51"/>
        <v>0.39800000000000002</v>
      </c>
      <c r="O189" s="51">
        <f t="shared" si="51"/>
        <v>0.38200000000000001</v>
      </c>
    </row>
    <row r="190" spans="2:15">
      <c r="B190" s="39" t="str">
        <f t="shared" si="41"/>
        <v>EM-FP-C100-3C*</v>
      </c>
      <c r="C190" s="100">
        <f t="shared" si="42"/>
        <v>210</v>
      </c>
      <c r="D190" s="74">
        <f t="shared" si="43"/>
        <v>239</v>
      </c>
      <c r="E190" s="101">
        <f t="shared" si="44"/>
        <v>265</v>
      </c>
      <c r="F190" s="99">
        <f t="shared" ref="F190:O190" si="52">F177</f>
        <v>0.22800000000000001</v>
      </c>
      <c r="G190" s="99">
        <f t="shared" si="52"/>
        <v>0.105</v>
      </c>
      <c r="H190" s="51">
        <f t="shared" si="52"/>
        <v>0.25</v>
      </c>
      <c r="I190" s="51">
        <f t="shared" si="52"/>
        <v>0.251</v>
      </c>
      <c r="J190" s="51">
        <f t="shared" si="52"/>
        <v>0.246</v>
      </c>
      <c r="K190" s="99">
        <f t="shared" si="52"/>
        <v>0.22900000000000001</v>
      </c>
      <c r="L190" s="99">
        <f t="shared" si="52"/>
        <v>0.126</v>
      </c>
      <c r="M190" s="51">
        <f t="shared" si="52"/>
        <v>0.25700000000000001</v>
      </c>
      <c r="N190" s="51">
        <f t="shared" si="52"/>
        <v>0.26200000000000001</v>
      </c>
      <c r="O190" s="51">
        <f t="shared" si="52"/>
        <v>0.25900000000000001</v>
      </c>
    </row>
    <row r="191" spans="2:15">
      <c r="B191" s="39" t="str">
        <f t="shared" si="41"/>
        <v>EM-FP-C150-3C*</v>
      </c>
      <c r="C191" s="100">
        <f t="shared" si="42"/>
        <v>275</v>
      </c>
      <c r="D191" s="74">
        <f t="shared" si="43"/>
        <v>313</v>
      </c>
      <c r="E191" s="101">
        <f t="shared" si="44"/>
        <v>345</v>
      </c>
      <c r="F191" s="99">
        <f t="shared" ref="F191:O191" si="53">F178</f>
        <v>0.152</v>
      </c>
      <c r="G191" s="99">
        <f t="shared" si="53"/>
        <v>0.10100000000000001</v>
      </c>
      <c r="H191" s="51">
        <f t="shared" si="53"/>
        <v>0.17599999999999999</v>
      </c>
      <c r="I191" s="51">
        <f t="shared" si="53"/>
        <v>0.18099999999999999</v>
      </c>
      <c r="J191" s="51">
        <f t="shared" si="53"/>
        <v>0.183</v>
      </c>
      <c r="K191" s="99">
        <f t="shared" si="53"/>
        <v>0.153</v>
      </c>
      <c r="L191" s="99">
        <f t="shared" si="53"/>
        <v>0.122</v>
      </c>
      <c r="M191" s="51">
        <f t="shared" si="53"/>
        <v>0.184</v>
      </c>
      <c r="N191" s="51">
        <f t="shared" si="53"/>
        <v>0.191</v>
      </c>
      <c r="O191" s="51">
        <f t="shared" si="53"/>
        <v>0.19600000000000001</v>
      </c>
    </row>
    <row r="192" spans="2:15">
      <c r="B192" s="39" t="str">
        <f t="shared" si="41"/>
        <v>EM-FP-C200-3C*</v>
      </c>
      <c r="C192" s="100">
        <f t="shared" si="42"/>
        <v>335</v>
      </c>
      <c r="D192" s="74">
        <f t="shared" si="43"/>
        <v>381</v>
      </c>
      <c r="E192" s="101">
        <f t="shared" si="44"/>
        <v>415</v>
      </c>
      <c r="F192" s="99">
        <f t="shared" ref="F192:O192" si="54">F179</f>
        <v>0.115</v>
      </c>
      <c r="G192" s="99">
        <f t="shared" si="54"/>
        <v>0.10100000000000001</v>
      </c>
      <c r="H192" s="51">
        <f t="shared" si="54"/>
        <v>0.14099999999999999</v>
      </c>
      <c r="I192" s="51">
        <f t="shared" si="54"/>
        <v>0.14799999999999999</v>
      </c>
      <c r="J192" s="51">
        <f t="shared" si="54"/>
        <v>0.153</v>
      </c>
      <c r="K192" s="99">
        <f t="shared" si="54"/>
        <v>0.11600000000000001</v>
      </c>
      <c r="L192" s="99">
        <f t="shared" si="54"/>
        <v>0.121</v>
      </c>
      <c r="M192" s="51">
        <f t="shared" si="54"/>
        <v>0.14799999999999999</v>
      </c>
      <c r="N192" s="51">
        <f t="shared" si="54"/>
        <v>0.158</v>
      </c>
      <c r="O192" s="51">
        <f t="shared" si="54"/>
        <v>0.16600000000000001</v>
      </c>
    </row>
    <row r="193" spans="2:15">
      <c r="B193" s="39" t="str">
        <f t="shared" si="41"/>
        <v>EM-FP-C250-3C*</v>
      </c>
      <c r="C193" s="100">
        <f t="shared" si="42"/>
        <v>385</v>
      </c>
      <c r="D193" s="74">
        <f t="shared" si="43"/>
        <v>438</v>
      </c>
      <c r="E193" s="101">
        <f t="shared" si="44"/>
        <v>475</v>
      </c>
      <c r="F193" s="99">
        <f t="shared" ref="F193:O193" si="55">F180</f>
        <v>9.4200000000000006E-2</v>
      </c>
      <c r="G193" s="99">
        <f t="shared" si="55"/>
        <v>9.9099999999999994E-2</v>
      </c>
      <c r="H193" s="51">
        <f t="shared" si="55"/>
        <v>0.121</v>
      </c>
      <c r="I193" s="51">
        <f t="shared" si="55"/>
        <v>0.128</v>
      </c>
      <c r="J193" s="51">
        <f t="shared" si="55"/>
        <v>0.13500000000000001</v>
      </c>
      <c r="K193" s="99">
        <f t="shared" si="55"/>
        <v>9.5200000000000007E-2</v>
      </c>
      <c r="L193" s="99">
        <f t="shared" si="55"/>
        <v>0.11899999999999999</v>
      </c>
      <c r="M193" s="51">
        <f t="shared" si="55"/>
        <v>0.128</v>
      </c>
      <c r="N193" s="51">
        <f t="shared" si="55"/>
        <v>0.13800000000000001</v>
      </c>
      <c r="O193" s="51">
        <f t="shared" si="55"/>
        <v>0.14799999999999999</v>
      </c>
    </row>
    <row r="194" spans="2:15">
      <c r="B194" s="39" t="str">
        <f t="shared" si="41"/>
        <v>EM-FP-C325-3C*</v>
      </c>
      <c r="C194" s="100">
        <f t="shared" si="42"/>
        <v>460</v>
      </c>
      <c r="D194" s="74">
        <f t="shared" si="43"/>
        <v>524</v>
      </c>
      <c r="E194" s="101">
        <f t="shared" si="44"/>
        <v>565</v>
      </c>
      <c r="F194" s="99">
        <f t="shared" ref="F194:O194" si="56">F181</f>
        <v>7.3700000000000002E-2</v>
      </c>
      <c r="G194" s="99">
        <f t="shared" si="56"/>
        <v>9.6799999999999997E-2</v>
      </c>
      <c r="H194" s="51">
        <f t="shared" si="56"/>
        <v>0.10100000000000001</v>
      </c>
      <c r="I194" s="51">
        <f t="shared" si="56"/>
        <v>0.109</v>
      </c>
      <c r="J194" s="51">
        <f t="shared" si="56"/>
        <v>0.11799999999999999</v>
      </c>
      <c r="K194" s="99">
        <f t="shared" si="56"/>
        <v>7.51E-2</v>
      </c>
      <c r="L194" s="99">
        <f t="shared" si="56"/>
        <v>0.11600000000000001</v>
      </c>
      <c r="M194" s="51">
        <f t="shared" si="56"/>
        <v>0.108</v>
      </c>
      <c r="N194" s="51">
        <f t="shared" si="56"/>
        <v>0.11899999999999999</v>
      </c>
      <c r="O194" s="51">
        <f t="shared" si="56"/>
        <v>0.13</v>
      </c>
    </row>
    <row r="195" spans="2:15">
      <c r="B195" s="39" t="s">
        <v>186</v>
      </c>
      <c r="C195" s="52">
        <v>54</v>
      </c>
      <c r="D195" s="74">
        <f t="shared" si="39"/>
        <v>61</v>
      </c>
      <c r="E195" s="71">
        <v>73</v>
      </c>
      <c r="F195" s="64">
        <v>1.63</v>
      </c>
      <c r="G195" s="64">
        <v>0.112</v>
      </c>
      <c r="H195" s="42">
        <v>1.59</v>
      </c>
      <c r="I195" s="42">
        <v>1.52</v>
      </c>
      <c r="J195" s="42">
        <v>1.38</v>
      </c>
      <c r="K195" s="64">
        <v>1.63</v>
      </c>
      <c r="L195" s="64">
        <v>0.13500000000000001</v>
      </c>
      <c r="M195" s="42">
        <v>1.6</v>
      </c>
      <c r="N195" s="42">
        <v>1.53</v>
      </c>
      <c r="O195" s="42">
        <v>1.39</v>
      </c>
    </row>
    <row r="196" spans="2:15">
      <c r="B196" s="39" t="s">
        <v>187</v>
      </c>
      <c r="C196" s="52">
        <v>71</v>
      </c>
      <c r="D196" s="74">
        <f t="shared" si="39"/>
        <v>80</v>
      </c>
      <c r="E196" s="71">
        <v>97</v>
      </c>
      <c r="F196" s="64">
        <v>1.03</v>
      </c>
      <c r="G196" s="64">
        <v>0.113</v>
      </c>
      <c r="H196" s="42">
        <v>1.02</v>
      </c>
      <c r="I196" s="42">
        <v>0.97699999999999998</v>
      </c>
      <c r="J196" s="42">
        <v>0.89200000000000002</v>
      </c>
      <c r="K196" s="64">
        <v>1.03</v>
      </c>
      <c r="L196" s="64">
        <v>0.129</v>
      </c>
      <c r="M196" s="42">
        <v>1.02</v>
      </c>
      <c r="N196" s="42">
        <v>0.98399999999999999</v>
      </c>
      <c r="O196" s="42">
        <v>0.90200000000000002</v>
      </c>
    </row>
    <row r="197" spans="2:15">
      <c r="B197" s="39" t="s">
        <v>188</v>
      </c>
      <c r="C197" s="52">
        <v>96</v>
      </c>
      <c r="D197" s="74">
        <f t="shared" si="39"/>
        <v>109</v>
      </c>
      <c r="E197" s="71">
        <v>135</v>
      </c>
      <c r="F197" s="64">
        <v>0.59699999999999998</v>
      </c>
      <c r="G197" s="64">
        <v>0.108</v>
      </c>
      <c r="H197" s="42">
        <v>0.60099999999999998</v>
      </c>
      <c r="I197" s="42">
        <v>0.58499999999999996</v>
      </c>
      <c r="J197" s="42">
        <v>0.54300000000000004</v>
      </c>
      <c r="K197" s="64">
        <v>0.59799999999999998</v>
      </c>
      <c r="L197" s="64">
        <v>0.11899999999999999</v>
      </c>
      <c r="M197" s="42">
        <v>0.60599999999999998</v>
      </c>
      <c r="N197" s="42">
        <v>0.59099999999999997</v>
      </c>
      <c r="O197" s="42">
        <v>0.55000000000000004</v>
      </c>
    </row>
    <row r="198" spans="2:15">
      <c r="B198" s="39" t="s">
        <v>189</v>
      </c>
      <c r="C198" s="52">
        <v>130</v>
      </c>
      <c r="D198" s="74">
        <f t="shared" si="39"/>
        <v>148</v>
      </c>
      <c r="E198" s="71">
        <v>180</v>
      </c>
      <c r="F198" s="64">
        <v>0.379</v>
      </c>
      <c r="G198" s="64">
        <v>9.8799999999999999E-2</v>
      </c>
      <c r="H198" s="42">
        <v>0.39100000000000001</v>
      </c>
      <c r="I198" s="42">
        <v>0.38500000000000001</v>
      </c>
      <c r="J198" s="42">
        <v>0.36299999999999999</v>
      </c>
      <c r="K198" s="64">
        <v>0.379</v>
      </c>
      <c r="L198" s="64">
        <v>0.114</v>
      </c>
      <c r="M198" s="42">
        <v>0.39600000000000002</v>
      </c>
      <c r="N198" s="42">
        <v>0.39100000000000001</v>
      </c>
      <c r="O198" s="42">
        <v>0.372</v>
      </c>
    </row>
    <row r="199" spans="2:15">
      <c r="B199" s="39" t="s">
        <v>190</v>
      </c>
      <c r="C199" s="52">
        <v>185</v>
      </c>
      <c r="D199" s="74">
        <f t="shared" si="39"/>
        <v>210</v>
      </c>
      <c r="E199" s="71">
        <v>245</v>
      </c>
      <c r="F199" s="64">
        <v>0.22800000000000001</v>
      </c>
      <c r="G199" s="64">
        <v>9.5299999999999996E-2</v>
      </c>
      <c r="H199" s="42">
        <v>0.247</v>
      </c>
      <c r="I199" s="42">
        <v>0.247</v>
      </c>
      <c r="J199" s="42">
        <v>0.24</v>
      </c>
      <c r="K199" s="64">
        <v>0.22800000000000001</v>
      </c>
      <c r="L199" s="64">
        <v>0.11</v>
      </c>
      <c r="M199" s="42">
        <v>0.251</v>
      </c>
      <c r="N199" s="42">
        <v>0.254</v>
      </c>
      <c r="O199" s="42">
        <v>0.249</v>
      </c>
    </row>
    <row r="200" spans="2:15">
      <c r="B200" s="39" t="s">
        <v>191</v>
      </c>
      <c r="C200" s="52">
        <v>235</v>
      </c>
      <c r="D200" s="74">
        <f t="shared" si="39"/>
        <v>267</v>
      </c>
      <c r="E200" s="71">
        <v>325</v>
      </c>
      <c r="F200" s="64">
        <v>0.152</v>
      </c>
      <c r="G200" s="64">
        <v>9.1999999999999998E-2</v>
      </c>
      <c r="H200" s="42">
        <v>0.17399999999999999</v>
      </c>
      <c r="I200" s="42">
        <v>0.17699999999999999</v>
      </c>
      <c r="J200" s="42">
        <v>0.17699999999999999</v>
      </c>
      <c r="K200" s="64">
        <v>0.153</v>
      </c>
      <c r="L200" s="64">
        <v>0.105</v>
      </c>
      <c r="M200" s="42">
        <v>0.17899999999999999</v>
      </c>
      <c r="N200" s="42">
        <v>0.184</v>
      </c>
      <c r="O200" s="42">
        <v>0.186</v>
      </c>
    </row>
    <row r="201" spans="2:15">
      <c r="B201" s="39" t="s">
        <v>192</v>
      </c>
      <c r="C201" s="52">
        <v>290</v>
      </c>
      <c r="D201" s="74">
        <f t="shared" si="39"/>
        <v>330</v>
      </c>
      <c r="E201" s="71">
        <v>395</v>
      </c>
      <c r="F201" s="64">
        <v>0.115</v>
      </c>
      <c r="G201" s="64">
        <v>8.7599999999999997E-2</v>
      </c>
      <c r="H201" s="42">
        <v>0.13700000000000001</v>
      </c>
      <c r="I201" s="42">
        <v>0.14199999999999999</v>
      </c>
      <c r="J201" s="42">
        <v>0.14499999999999999</v>
      </c>
      <c r="K201" s="64">
        <v>0.11600000000000001</v>
      </c>
      <c r="L201" s="64">
        <v>0.105</v>
      </c>
      <c r="M201" s="42">
        <v>0.14299999999999999</v>
      </c>
      <c r="N201" s="42">
        <v>0.151</v>
      </c>
      <c r="O201" s="42">
        <v>0.156</v>
      </c>
    </row>
    <row r="202" spans="2:15">
      <c r="B202" s="39" t="s">
        <v>193</v>
      </c>
      <c r="C202" s="52">
        <v>340</v>
      </c>
      <c r="D202" s="74">
        <f t="shared" si="39"/>
        <v>387</v>
      </c>
      <c r="E202" s="71">
        <v>460</v>
      </c>
      <c r="F202" s="64">
        <v>9.3700000000000006E-2</v>
      </c>
      <c r="G202" s="64">
        <v>8.7300000000000003E-2</v>
      </c>
      <c r="H202" s="42">
        <v>0.11700000000000001</v>
      </c>
      <c r="I202" s="42">
        <v>0.123</v>
      </c>
      <c r="J202" s="42">
        <v>0.128</v>
      </c>
      <c r="K202" s="64">
        <v>9.4600000000000004E-2</v>
      </c>
      <c r="L202" s="64">
        <v>0.10199999999999999</v>
      </c>
      <c r="M202" s="42">
        <v>0.122</v>
      </c>
      <c r="N202" s="42">
        <v>0.13</v>
      </c>
      <c r="O202" s="42">
        <v>0.13700000000000001</v>
      </c>
    </row>
    <row r="203" spans="2:15">
      <c r="B203" s="39" t="s">
        <v>194</v>
      </c>
      <c r="C203" s="52">
        <v>405</v>
      </c>
      <c r="D203" s="74">
        <f t="shared" ref="D203:D212" si="57">ROUNDDOWN(C203*1.14,0)</f>
        <v>461</v>
      </c>
      <c r="E203" s="71">
        <v>545</v>
      </c>
      <c r="F203" s="64">
        <v>7.3099999999999998E-2</v>
      </c>
      <c r="G203" s="64">
        <v>8.5300000000000001E-2</v>
      </c>
      <c r="H203" s="42">
        <v>9.7000000000000003E-2</v>
      </c>
      <c r="I203" s="42">
        <v>0.10299999999999999</v>
      </c>
      <c r="J203" s="42">
        <v>0.11</v>
      </c>
      <c r="K203" s="64">
        <v>7.4300000000000005E-2</v>
      </c>
      <c r="L203" s="64">
        <v>9.9599999999999994E-2</v>
      </c>
      <c r="M203" s="42">
        <v>0.10199999999999999</v>
      </c>
      <c r="N203" s="42">
        <v>0.111</v>
      </c>
      <c r="O203" s="42">
        <v>0.12</v>
      </c>
    </row>
    <row r="204" spans="2:15">
      <c r="B204" s="39" t="str">
        <f t="shared" ref="B204:B211" si="58">B195&amp;"*"</f>
        <v>EM-FPT14*</v>
      </c>
      <c r="C204" s="100">
        <v>59</v>
      </c>
      <c r="D204" s="74">
        <f t="shared" si="57"/>
        <v>67</v>
      </c>
      <c r="E204" s="101">
        <v>78</v>
      </c>
      <c r="F204" s="99">
        <f t="shared" ref="F204:O204" si="59">F195</f>
        <v>1.63</v>
      </c>
      <c r="G204" s="99">
        <f t="shared" si="59"/>
        <v>0.112</v>
      </c>
      <c r="H204" s="51">
        <f t="shared" si="59"/>
        <v>1.59</v>
      </c>
      <c r="I204" s="51">
        <f t="shared" si="59"/>
        <v>1.52</v>
      </c>
      <c r="J204" s="51">
        <f t="shared" si="59"/>
        <v>1.38</v>
      </c>
      <c r="K204" s="99">
        <f t="shared" si="59"/>
        <v>1.63</v>
      </c>
      <c r="L204" s="99">
        <f t="shared" si="59"/>
        <v>0.13500000000000001</v>
      </c>
      <c r="M204" s="51">
        <f t="shared" si="59"/>
        <v>1.6</v>
      </c>
      <c r="N204" s="51">
        <f t="shared" si="59"/>
        <v>1.53</v>
      </c>
      <c r="O204" s="51">
        <f t="shared" si="59"/>
        <v>1.39</v>
      </c>
    </row>
    <row r="205" spans="2:15">
      <c r="B205" s="39" t="str">
        <f t="shared" si="58"/>
        <v>EM-FPT22*</v>
      </c>
      <c r="C205" s="100">
        <v>79</v>
      </c>
      <c r="D205" s="74">
        <f t="shared" si="57"/>
        <v>90</v>
      </c>
      <c r="E205" s="101">
        <v>100</v>
      </c>
      <c r="F205" s="99">
        <f t="shared" ref="F205:O205" si="60">F196</f>
        <v>1.03</v>
      </c>
      <c r="G205" s="99">
        <f t="shared" si="60"/>
        <v>0.113</v>
      </c>
      <c r="H205" s="51">
        <f t="shared" si="60"/>
        <v>1.02</v>
      </c>
      <c r="I205" s="51">
        <f t="shared" si="60"/>
        <v>0.97699999999999998</v>
      </c>
      <c r="J205" s="51">
        <f t="shared" si="60"/>
        <v>0.89200000000000002</v>
      </c>
      <c r="K205" s="99">
        <f t="shared" si="60"/>
        <v>1.03</v>
      </c>
      <c r="L205" s="99">
        <f t="shared" si="60"/>
        <v>0.129</v>
      </c>
      <c r="M205" s="51">
        <f t="shared" si="60"/>
        <v>1.02</v>
      </c>
      <c r="N205" s="51">
        <f t="shared" si="60"/>
        <v>0.98399999999999999</v>
      </c>
      <c r="O205" s="51">
        <f t="shared" si="60"/>
        <v>0.90200000000000002</v>
      </c>
    </row>
    <row r="206" spans="2:15">
      <c r="B206" s="39" t="str">
        <f t="shared" si="58"/>
        <v>EM-FPT38*</v>
      </c>
      <c r="C206" s="100">
        <v>105</v>
      </c>
      <c r="D206" s="74">
        <f t="shared" si="57"/>
        <v>119</v>
      </c>
      <c r="E206" s="101">
        <v>145</v>
      </c>
      <c r="F206" s="99">
        <f t="shared" ref="F206:O206" si="61">F197</f>
        <v>0.59699999999999998</v>
      </c>
      <c r="G206" s="99">
        <f t="shared" si="61"/>
        <v>0.108</v>
      </c>
      <c r="H206" s="51">
        <f t="shared" si="61"/>
        <v>0.60099999999999998</v>
      </c>
      <c r="I206" s="51">
        <f t="shared" si="61"/>
        <v>0.58499999999999996</v>
      </c>
      <c r="J206" s="51">
        <f t="shared" si="61"/>
        <v>0.54300000000000004</v>
      </c>
      <c r="K206" s="99">
        <f t="shared" si="61"/>
        <v>0.59799999999999998</v>
      </c>
      <c r="L206" s="99">
        <f t="shared" si="61"/>
        <v>0.11899999999999999</v>
      </c>
      <c r="M206" s="51">
        <f t="shared" si="61"/>
        <v>0.60599999999999998</v>
      </c>
      <c r="N206" s="51">
        <f t="shared" si="61"/>
        <v>0.59099999999999997</v>
      </c>
      <c r="O206" s="51">
        <f t="shared" si="61"/>
        <v>0.55000000000000004</v>
      </c>
    </row>
    <row r="207" spans="2:15">
      <c r="B207" s="39" t="str">
        <f t="shared" si="58"/>
        <v>EM-FPT60*</v>
      </c>
      <c r="C207" s="100">
        <v>140</v>
      </c>
      <c r="D207" s="74">
        <f t="shared" si="57"/>
        <v>159</v>
      </c>
      <c r="E207" s="101">
        <v>190</v>
      </c>
      <c r="F207" s="99">
        <f t="shared" ref="F207:O207" si="62">F198</f>
        <v>0.379</v>
      </c>
      <c r="G207" s="99">
        <f t="shared" si="62"/>
        <v>9.8799999999999999E-2</v>
      </c>
      <c r="H207" s="51">
        <f t="shared" si="62"/>
        <v>0.39100000000000001</v>
      </c>
      <c r="I207" s="51">
        <f t="shared" si="62"/>
        <v>0.38500000000000001</v>
      </c>
      <c r="J207" s="51">
        <f t="shared" si="62"/>
        <v>0.36299999999999999</v>
      </c>
      <c r="K207" s="99">
        <f t="shared" si="62"/>
        <v>0.379</v>
      </c>
      <c r="L207" s="99">
        <f t="shared" si="62"/>
        <v>0.114</v>
      </c>
      <c r="M207" s="51">
        <f t="shared" si="62"/>
        <v>0.39600000000000002</v>
      </c>
      <c r="N207" s="51">
        <f t="shared" si="62"/>
        <v>0.39100000000000001</v>
      </c>
      <c r="O207" s="51">
        <f t="shared" si="62"/>
        <v>0.372</v>
      </c>
    </row>
    <row r="208" spans="2:15">
      <c r="B208" s="39" t="str">
        <f t="shared" si="58"/>
        <v>EM-FPT100*</v>
      </c>
      <c r="C208" s="100">
        <v>200</v>
      </c>
      <c r="D208" s="74">
        <f t="shared" si="57"/>
        <v>228</v>
      </c>
      <c r="E208" s="101">
        <v>265</v>
      </c>
      <c r="F208" s="99">
        <f t="shared" ref="F208:O208" si="63">F199</f>
        <v>0.22800000000000001</v>
      </c>
      <c r="G208" s="99">
        <f t="shared" si="63"/>
        <v>9.5299999999999996E-2</v>
      </c>
      <c r="H208" s="51">
        <f t="shared" si="63"/>
        <v>0.247</v>
      </c>
      <c r="I208" s="51">
        <f t="shared" si="63"/>
        <v>0.247</v>
      </c>
      <c r="J208" s="51">
        <f t="shared" si="63"/>
        <v>0.24</v>
      </c>
      <c r="K208" s="99">
        <f t="shared" si="63"/>
        <v>0.22800000000000001</v>
      </c>
      <c r="L208" s="99">
        <f t="shared" si="63"/>
        <v>0.11</v>
      </c>
      <c r="M208" s="51">
        <f t="shared" si="63"/>
        <v>0.251</v>
      </c>
      <c r="N208" s="51">
        <f t="shared" si="63"/>
        <v>0.254</v>
      </c>
      <c r="O208" s="51">
        <f t="shared" si="63"/>
        <v>0.249</v>
      </c>
    </row>
    <row r="209" spans="2:15">
      <c r="B209" s="39" t="str">
        <f t="shared" si="58"/>
        <v>EM-FPT150*</v>
      </c>
      <c r="C209" s="100">
        <v>265</v>
      </c>
      <c r="D209" s="74">
        <f t="shared" si="57"/>
        <v>302</v>
      </c>
      <c r="E209" s="101">
        <v>340</v>
      </c>
      <c r="F209" s="99">
        <f t="shared" ref="F209:O209" si="64">F200</f>
        <v>0.152</v>
      </c>
      <c r="G209" s="99">
        <f t="shared" si="64"/>
        <v>9.1999999999999998E-2</v>
      </c>
      <c r="H209" s="51">
        <f t="shared" si="64"/>
        <v>0.17399999999999999</v>
      </c>
      <c r="I209" s="51">
        <f t="shared" si="64"/>
        <v>0.17699999999999999</v>
      </c>
      <c r="J209" s="51">
        <f t="shared" si="64"/>
        <v>0.17699999999999999</v>
      </c>
      <c r="K209" s="99">
        <f t="shared" si="64"/>
        <v>0.153</v>
      </c>
      <c r="L209" s="99">
        <f t="shared" si="64"/>
        <v>0.105</v>
      </c>
      <c r="M209" s="51">
        <f t="shared" si="64"/>
        <v>0.17899999999999999</v>
      </c>
      <c r="N209" s="51">
        <f t="shared" si="64"/>
        <v>0.184</v>
      </c>
      <c r="O209" s="51">
        <f t="shared" si="64"/>
        <v>0.186</v>
      </c>
    </row>
    <row r="210" spans="2:15">
      <c r="B210" s="39" t="str">
        <f t="shared" si="58"/>
        <v>EM-FPT200*</v>
      </c>
      <c r="C210" s="100">
        <v>315</v>
      </c>
      <c r="D210" s="74">
        <f t="shared" si="57"/>
        <v>359</v>
      </c>
      <c r="E210" s="101">
        <v>420</v>
      </c>
      <c r="F210" s="99">
        <f t="shared" ref="F210:O210" si="65">F201</f>
        <v>0.115</v>
      </c>
      <c r="G210" s="99">
        <f t="shared" si="65"/>
        <v>8.7599999999999997E-2</v>
      </c>
      <c r="H210" s="51">
        <f t="shared" si="65"/>
        <v>0.13700000000000001</v>
      </c>
      <c r="I210" s="51">
        <f t="shared" si="65"/>
        <v>0.14199999999999999</v>
      </c>
      <c r="J210" s="51">
        <f t="shared" si="65"/>
        <v>0.14499999999999999</v>
      </c>
      <c r="K210" s="99">
        <f t="shared" si="65"/>
        <v>0.11600000000000001</v>
      </c>
      <c r="L210" s="99">
        <f t="shared" si="65"/>
        <v>0.105</v>
      </c>
      <c r="M210" s="51">
        <f t="shared" si="65"/>
        <v>0.14299999999999999</v>
      </c>
      <c r="N210" s="51">
        <f t="shared" si="65"/>
        <v>0.151</v>
      </c>
      <c r="O210" s="51">
        <f t="shared" si="65"/>
        <v>0.156</v>
      </c>
    </row>
    <row r="211" spans="2:15">
      <c r="B211" s="39" t="str">
        <f t="shared" si="58"/>
        <v>EM-FPT250*</v>
      </c>
      <c r="C211" s="100">
        <v>370</v>
      </c>
      <c r="D211" s="74">
        <f t="shared" si="57"/>
        <v>421</v>
      </c>
      <c r="E211" s="101">
        <v>485</v>
      </c>
      <c r="F211" s="99">
        <f t="shared" ref="F211:O211" si="66">F202</f>
        <v>9.3700000000000006E-2</v>
      </c>
      <c r="G211" s="99">
        <f t="shared" si="66"/>
        <v>8.7300000000000003E-2</v>
      </c>
      <c r="H211" s="51">
        <f t="shared" si="66"/>
        <v>0.11700000000000001</v>
      </c>
      <c r="I211" s="51">
        <f t="shared" si="66"/>
        <v>0.123</v>
      </c>
      <c r="J211" s="51">
        <f t="shared" si="66"/>
        <v>0.128</v>
      </c>
      <c r="K211" s="99">
        <f t="shared" si="66"/>
        <v>9.4600000000000004E-2</v>
      </c>
      <c r="L211" s="99">
        <f t="shared" si="66"/>
        <v>0.10199999999999999</v>
      </c>
      <c r="M211" s="51">
        <f t="shared" si="66"/>
        <v>0.122</v>
      </c>
      <c r="N211" s="51">
        <f t="shared" si="66"/>
        <v>0.13</v>
      </c>
      <c r="O211" s="51">
        <f t="shared" si="66"/>
        <v>0.13700000000000001</v>
      </c>
    </row>
    <row r="212" spans="2:15" ht="14.25" thickBot="1">
      <c r="B212" s="39" t="str">
        <f>B203&amp;"*"</f>
        <v>EM-FPT325*</v>
      </c>
      <c r="C212" s="100">
        <v>430</v>
      </c>
      <c r="D212" s="75">
        <f t="shared" si="57"/>
        <v>490</v>
      </c>
      <c r="E212" s="101">
        <v>575</v>
      </c>
      <c r="F212" s="99">
        <f>F203</f>
        <v>7.3099999999999998E-2</v>
      </c>
      <c r="G212" s="99">
        <f t="shared" ref="G212:O212" si="67">G203</f>
        <v>8.5300000000000001E-2</v>
      </c>
      <c r="H212" s="51">
        <f t="shared" si="67"/>
        <v>9.7000000000000003E-2</v>
      </c>
      <c r="I212" s="51">
        <f t="shared" si="67"/>
        <v>0.10299999999999999</v>
      </c>
      <c r="J212" s="51">
        <f t="shared" si="67"/>
        <v>0.11</v>
      </c>
      <c r="K212" s="99">
        <f t="shared" si="67"/>
        <v>7.4300000000000005E-2</v>
      </c>
      <c r="L212" s="99">
        <f t="shared" si="67"/>
        <v>9.9599999999999994E-2</v>
      </c>
      <c r="M212" s="51">
        <f t="shared" si="67"/>
        <v>0.10199999999999999</v>
      </c>
      <c r="N212" s="51">
        <f t="shared" si="67"/>
        <v>0.111</v>
      </c>
      <c r="O212" s="51">
        <f t="shared" si="67"/>
        <v>0.12</v>
      </c>
    </row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</sheetData>
  <phoneticPr fontId="21"/>
  <pageMargins left="0.7" right="0.7" top="0.75" bottom="0.75" header="0.3" footer="0.3"/>
  <ignoredErrors>
    <ignoredError sqref="D103:D115 D182:D194 D147 D148:D155 D116:D128" formula="1"/>
  </ignoredError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DE34-AF64-4895-89B1-2EDD4AE609E1}">
  <dimension ref="B2:H5"/>
  <sheetViews>
    <sheetView workbookViewId="0">
      <selection activeCell="B3" sqref="B3"/>
    </sheetView>
  </sheetViews>
  <sheetFormatPr defaultRowHeight="13.5"/>
  <cols>
    <col min="2" max="8" width="18.625" customWidth="1"/>
  </cols>
  <sheetData>
    <row r="2" spans="2:8">
      <c r="B2" t="s">
        <v>216</v>
      </c>
    </row>
    <row r="3" spans="2:8">
      <c r="B3" s="36" t="s">
        <v>220</v>
      </c>
      <c r="C3" s="36" t="s">
        <v>245</v>
      </c>
      <c r="D3" s="40"/>
      <c r="E3" s="37"/>
      <c r="F3" s="36" t="s">
        <v>246</v>
      </c>
      <c r="G3" s="40"/>
      <c r="H3" s="37"/>
    </row>
    <row r="4" spans="2:8">
      <c r="B4" s="39" t="s">
        <v>219</v>
      </c>
      <c r="C4" s="41">
        <v>60</v>
      </c>
      <c r="D4" s="41">
        <v>120</v>
      </c>
      <c r="E4" s="41">
        <v>200</v>
      </c>
      <c r="F4" s="41">
        <v>60</v>
      </c>
      <c r="G4" s="41">
        <v>120</v>
      </c>
      <c r="H4" s="41">
        <v>200</v>
      </c>
    </row>
    <row r="5" spans="2:8">
      <c r="B5" s="39" t="s">
        <v>218</v>
      </c>
      <c r="C5" s="41">
        <v>2</v>
      </c>
      <c r="D5" s="41">
        <v>4</v>
      </c>
      <c r="E5" s="41">
        <v>5</v>
      </c>
      <c r="F5" s="41">
        <v>3</v>
      </c>
      <c r="G5" s="41">
        <v>5</v>
      </c>
      <c r="H5" s="41">
        <v>6</v>
      </c>
    </row>
  </sheetData>
  <phoneticPr fontId="2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BBD9-78DE-4636-95AA-5FE9A7179045}">
  <dimension ref="B2:Y8"/>
  <sheetViews>
    <sheetView workbookViewId="0">
      <selection activeCell="B3" sqref="B3"/>
    </sheetView>
  </sheetViews>
  <sheetFormatPr defaultRowHeight="13.5"/>
  <cols>
    <col min="2" max="25" width="18.625" customWidth="1"/>
  </cols>
  <sheetData>
    <row r="2" spans="2:25">
      <c r="B2" t="s">
        <v>224</v>
      </c>
    </row>
    <row r="3" spans="2:25">
      <c r="B3" s="39" t="s">
        <v>228</v>
      </c>
      <c r="C3" s="36">
        <v>1</v>
      </c>
      <c r="D3" s="40"/>
      <c r="E3" s="40"/>
      <c r="F3" s="40"/>
      <c r="G3" s="37"/>
      <c r="H3" s="36">
        <v>2</v>
      </c>
      <c r="I3" s="40"/>
      <c r="J3" s="40"/>
      <c r="K3" s="40"/>
      <c r="L3" s="40"/>
      <c r="M3" s="40"/>
      <c r="N3" s="37"/>
      <c r="O3" s="36">
        <v>3</v>
      </c>
      <c r="P3" s="40"/>
      <c r="Q3" s="40"/>
      <c r="R3" s="40"/>
      <c r="S3" s="40"/>
      <c r="T3" s="40"/>
      <c r="U3" s="40"/>
      <c r="V3" s="40"/>
      <c r="W3" s="40"/>
      <c r="X3" s="40"/>
      <c r="Y3" s="37"/>
    </row>
    <row r="4" spans="2:25">
      <c r="B4" s="39" t="s">
        <v>229</v>
      </c>
      <c r="C4" s="39">
        <v>1</v>
      </c>
      <c r="D4" s="39">
        <v>2</v>
      </c>
      <c r="E4" s="39">
        <v>3</v>
      </c>
      <c r="F4" s="39">
        <v>6</v>
      </c>
      <c r="G4" s="39" t="s">
        <v>260</v>
      </c>
      <c r="H4" s="39">
        <v>2</v>
      </c>
      <c r="I4" s="39">
        <v>3</v>
      </c>
      <c r="J4" s="39">
        <v>4</v>
      </c>
      <c r="K4" s="39">
        <v>5</v>
      </c>
      <c r="L4" s="39">
        <v>6</v>
      </c>
      <c r="M4" s="39">
        <v>7</v>
      </c>
      <c r="N4" s="39" t="s">
        <v>261</v>
      </c>
      <c r="O4" s="39">
        <v>3</v>
      </c>
      <c r="P4" s="39">
        <v>4</v>
      </c>
      <c r="Q4" s="39">
        <v>5</v>
      </c>
      <c r="R4" s="39">
        <v>6</v>
      </c>
      <c r="S4" s="39">
        <v>7</v>
      </c>
      <c r="T4" s="39">
        <v>8</v>
      </c>
      <c r="U4" s="39">
        <v>10</v>
      </c>
      <c r="V4" s="39">
        <v>12</v>
      </c>
      <c r="W4" s="39">
        <v>15</v>
      </c>
      <c r="X4" s="39">
        <v>19</v>
      </c>
      <c r="Y4" s="39" t="s">
        <v>262</v>
      </c>
    </row>
    <row r="5" spans="2:25">
      <c r="B5" s="39" t="s">
        <v>259</v>
      </c>
      <c r="C5" s="39" t="str">
        <f>$C$3&amp;"S"&amp;C$4</f>
        <v>1S1</v>
      </c>
      <c r="D5" s="39" t="str">
        <f>$C$3&amp;"S"&amp;D$4</f>
        <v>1S2</v>
      </c>
      <c r="E5" s="39" t="str">
        <f>$C$3&amp;"S"&amp;E$4</f>
        <v>1S3</v>
      </c>
      <c r="F5" s="39" t="str">
        <f>$C$3&amp;"S"&amp;F$4</f>
        <v>1S6</v>
      </c>
      <c r="G5" s="39" t="str">
        <f>$C$3&amp;"S"&amp;G$4</f>
        <v>1S7～</v>
      </c>
      <c r="H5" s="39" t="str">
        <f t="shared" ref="H5:N5" si="0">$H$3&amp;"S"&amp;H$4</f>
        <v>2S2</v>
      </c>
      <c r="I5" s="39" t="str">
        <f t="shared" si="0"/>
        <v>2S3</v>
      </c>
      <c r="J5" s="39" t="str">
        <f t="shared" si="0"/>
        <v>2S4</v>
      </c>
      <c r="K5" s="39" t="str">
        <f t="shared" si="0"/>
        <v>2S5</v>
      </c>
      <c r="L5" s="39" t="str">
        <f t="shared" si="0"/>
        <v>2S6</v>
      </c>
      <c r="M5" s="39" t="str">
        <f t="shared" si="0"/>
        <v>2S7</v>
      </c>
      <c r="N5" s="39" t="str">
        <f t="shared" si="0"/>
        <v>2S8～</v>
      </c>
      <c r="O5" s="39" t="str">
        <f t="shared" ref="O5:Y5" si="1">$O$3&amp;"S"&amp;O$4</f>
        <v>3S3</v>
      </c>
      <c r="P5" s="39" t="str">
        <f t="shared" si="1"/>
        <v>3S4</v>
      </c>
      <c r="Q5" s="39" t="str">
        <f t="shared" si="1"/>
        <v>3S5</v>
      </c>
      <c r="R5" s="39" t="str">
        <f t="shared" si="1"/>
        <v>3S6</v>
      </c>
      <c r="S5" s="39" t="str">
        <f t="shared" si="1"/>
        <v>3S7</v>
      </c>
      <c r="T5" s="39" t="str">
        <f t="shared" si="1"/>
        <v>3S8</v>
      </c>
      <c r="U5" s="39" t="str">
        <f t="shared" si="1"/>
        <v>3S10</v>
      </c>
      <c r="V5" s="39" t="str">
        <f t="shared" si="1"/>
        <v>3S12</v>
      </c>
      <c r="W5" s="39" t="str">
        <f t="shared" si="1"/>
        <v>3S15</v>
      </c>
      <c r="X5" s="39" t="str">
        <f t="shared" si="1"/>
        <v>3S19</v>
      </c>
      <c r="Y5" s="39" t="str">
        <f t="shared" si="1"/>
        <v>3S20～</v>
      </c>
    </row>
    <row r="6" spans="2:25">
      <c r="B6" s="39" t="s">
        <v>225</v>
      </c>
      <c r="C6" s="80">
        <v>1</v>
      </c>
      <c r="D6" s="80">
        <v>0.85</v>
      </c>
      <c r="E6" s="80">
        <v>0.8</v>
      </c>
      <c r="F6" s="80">
        <v>0.7</v>
      </c>
      <c r="G6" s="80">
        <v>0.7</v>
      </c>
      <c r="H6" s="80">
        <v>0.7</v>
      </c>
      <c r="I6" s="80">
        <v>0.6</v>
      </c>
      <c r="J6" s="80">
        <v>0.6</v>
      </c>
      <c r="K6" s="80">
        <v>0.56000000000000005</v>
      </c>
      <c r="L6" s="80">
        <v>0.53</v>
      </c>
      <c r="M6" s="80">
        <v>0.51</v>
      </c>
      <c r="N6" s="80">
        <v>0.5</v>
      </c>
      <c r="O6" s="80">
        <v>0.48</v>
      </c>
      <c r="P6" s="80">
        <v>0.41</v>
      </c>
      <c r="Q6" s="80">
        <v>0.37</v>
      </c>
      <c r="R6" s="80">
        <v>0.34</v>
      </c>
      <c r="S6" s="80">
        <v>0.32</v>
      </c>
      <c r="T6" s="80">
        <v>0.31</v>
      </c>
      <c r="U6" s="80">
        <v>0.3</v>
      </c>
      <c r="V6" s="80">
        <v>0.3</v>
      </c>
      <c r="W6" s="80">
        <v>0.3</v>
      </c>
      <c r="X6" s="80">
        <v>0.3</v>
      </c>
      <c r="Y6" s="80">
        <v>0.3</v>
      </c>
    </row>
    <row r="7" spans="2:25">
      <c r="B7" s="39" t="s">
        <v>226</v>
      </c>
      <c r="C7" s="80">
        <v>1</v>
      </c>
      <c r="D7" s="80">
        <v>0.95</v>
      </c>
      <c r="E7" s="80">
        <v>0.95</v>
      </c>
      <c r="F7" s="80">
        <v>0.9</v>
      </c>
      <c r="G7" s="80">
        <v>0.8</v>
      </c>
      <c r="H7" s="80">
        <v>0.9</v>
      </c>
      <c r="I7" s="80">
        <v>0.9</v>
      </c>
      <c r="J7" s="80">
        <v>0.85</v>
      </c>
      <c r="K7" s="80">
        <v>0.73</v>
      </c>
      <c r="L7" s="80">
        <v>0.72</v>
      </c>
      <c r="M7" s="80">
        <v>0.71</v>
      </c>
      <c r="N7" s="80">
        <v>0.7</v>
      </c>
      <c r="O7" s="80">
        <v>0.8</v>
      </c>
      <c r="P7" s="80">
        <v>0.8</v>
      </c>
      <c r="Q7" s="80">
        <v>0.68</v>
      </c>
      <c r="R7" s="80">
        <v>0.66</v>
      </c>
      <c r="S7" s="80">
        <v>0.65</v>
      </c>
      <c r="T7" s="80">
        <v>0.65</v>
      </c>
      <c r="U7" s="80">
        <v>0.64</v>
      </c>
      <c r="V7" s="80">
        <v>0.63</v>
      </c>
      <c r="W7" s="80">
        <v>0.62</v>
      </c>
      <c r="X7" s="80">
        <v>0.61</v>
      </c>
      <c r="Y7" s="80">
        <v>0.6</v>
      </c>
    </row>
    <row r="8" spans="2:25">
      <c r="B8" s="39" t="s">
        <v>227</v>
      </c>
      <c r="C8" s="80">
        <v>1</v>
      </c>
      <c r="D8" s="80">
        <v>1</v>
      </c>
      <c r="E8" s="80">
        <v>1</v>
      </c>
      <c r="F8" s="80">
        <v>0.95</v>
      </c>
      <c r="G8" s="80" t="s">
        <v>230</v>
      </c>
      <c r="H8" s="80">
        <v>0.95</v>
      </c>
      <c r="I8" s="80">
        <v>0.95</v>
      </c>
      <c r="J8" s="80">
        <v>0.9</v>
      </c>
      <c r="K8" s="80" t="s">
        <v>230</v>
      </c>
      <c r="L8" s="80" t="s">
        <v>230</v>
      </c>
      <c r="M8" s="80" t="s">
        <v>230</v>
      </c>
      <c r="N8" s="80" t="s">
        <v>230</v>
      </c>
      <c r="O8" s="80">
        <v>0.85</v>
      </c>
      <c r="P8" s="80">
        <v>0.85</v>
      </c>
      <c r="Q8" s="80" t="s">
        <v>230</v>
      </c>
      <c r="R8" s="80" t="s">
        <v>230</v>
      </c>
      <c r="S8" s="80" t="s">
        <v>230</v>
      </c>
      <c r="T8" s="80" t="s">
        <v>230</v>
      </c>
      <c r="U8" s="80" t="s">
        <v>230</v>
      </c>
      <c r="V8" s="80" t="s">
        <v>230</v>
      </c>
      <c r="W8" s="80" t="s">
        <v>230</v>
      </c>
      <c r="X8" s="80" t="s">
        <v>230</v>
      </c>
      <c r="Y8" s="80" t="s">
        <v>230</v>
      </c>
    </row>
  </sheetData>
  <phoneticPr fontId="2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FCD3-1B50-45AF-AF09-B37BD13B23E6}">
  <dimension ref="B2:C14"/>
  <sheetViews>
    <sheetView workbookViewId="0">
      <selection activeCell="B3" sqref="B3"/>
    </sheetView>
  </sheetViews>
  <sheetFormatPr defaultRowHeight="13.5"/>
  <cols>
    <col min="2" max="3" width="18.625" customWidth="1"/>
  </cols>
  <sheetData>
    <row r="2" spans="2:3">
      <c r="B2" t="s">
        <v>213</v>
      </c>
    </row>
    <row r="3" spans="2:3">
      <c r="B3" s="35" t="s">
        <v>208</v>
      </c>
      <c r="C3" s="35" t="s">
        <v>214</v>
      </c>
    </row>
    <row r="4" spans="2:3">
      <c r="B4" s="38" t="s">
        <v>210</v>
      </c>
      <c r="C4" s="38" t="s">
        <v>215</v>
      </c>
    </row>
    <row r="5" spans="2:3">
      <c r="B5" s="78">
        <v>30</v>
      </c>
      <c r="C5" s="79">
        <v>1.6</v>
      </c>
    </row>
    <row r="6" spans="2:3">
      <c r="B6" s="78">
        <v>60</v>
      </c>
      <c r="C6" s="79">
        <v>2</v>
      </c>
    </row>
    <row r="7" spans="2:3">
      <c r="B7" s="78">
        <v>100</v>
      </c>
      <c r="C7" s="79">
        <v>5.5</v>
      </c>
    </row>
    <row r="8" spans="2:3">
      <c r="B8" s="78">
        <v>150</v>
      </c>
      <c r="C8" s="78">
        <v>8</v>
      </c>
    </row>
    <row r="9" spans="2:3">
      <c r="B9" s="78">
        <v>200</v>
      </c>
      <c r="C9" s="78">
        <v>14</v>
      </c>
    </row>
    <row r="10" spans="2:3">
      <c r="B10" s="78">
        <v>400</v>
      </c>
      <c r="C10" s="78">
        <v>22</v>
      </c>
    </row>
    <row r="11" spans="2:3">
      <c r="B11" s="78">
        <v>600</v>
      </c>
      <c r="C11" s="78">
        <v>38</v>
      </c>
    </row>
    <row r="12" spans="2:3">
      <c r="B12" s="78">
        <v>1000</v>
      </c>
      <c r="C12" s="78">
        <v>60</v>
      </c>
    </row>
    <row r="13" spans="2:3">
      <c r="B13" s="78">
        <v>1600</v>
      </c>
      <c r="C13" s="78">
        <v>100</v>
      </c>
    </row>
    <row r="14" spans="2:3">
      <c r="B14" s="78">
        <v>2500</v>
      </c>
      <c r="C14" s="78">
        <v>150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電圧降下計算</vt:lpstr>
      <vt:lpstr>計算用バックデータ⇒</vt:lpstr>
      <vt:lpstr>電線の選定</vt:lpstr>
      <vt:lpstr>電圧降下の選定</vt:lpstr>
      <vt:lpstr>ラック低減の選定</vt:lpstr>
      <vt:lpstr>電気方式</vt:lpstr>
      <vt:lpstr>電圧</vt:lpstr>
      <vt:lpstr>主幹器具</vt:lpstr>
      <vt:lpstr>幹線分岐</vt:lpstr>
      <vt:lpstr>電線</vt:lpstr>
      <vt:lpstr>電圧降下</vt:lpstr>
      <vt:lpstr>ラック低減</vt:lpstr>
      <vt:lpstr>接地線</vt:lpstr>
      <vt:lpstr>電圧降下計算!Print_Area</vt:lpstr>
    </vt:vector>
  </TitlesOfParts>
  <Manager/>
  <Company>試運転の資料館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幹線計算書</dc:title>
  <dc:subject>幹線計算書</dc:subject>
  <dc:creator>試運転</dc:creator>
  <cp:keywords>幹線; 電圧降下; 計算</cp:keywords>
  <cp:lastModifiedBy/>
  <dcterms:created xsi:type="dcterms:W3CDTF">2015-07-21T06:28:41Z</dcterms:created>
  <dcterms:modified xsi:type="dcterms:W3CDTF">2024-06-30T02:21:34Z</dcterms:modified>
</cp:coreProperties>
</file>